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родукции" sheetId="1" state="visible" r:id="rId3"/>
  </sheets>
  <definedNames>
    <definedName function="false" hidden="false" localSheetId="0" name="_xlnm.Print_Area" vbProcedure="false">'перечень продукции'!$B$15:$P$496</definedName>
    <definedName function="false" hidden="false" localSheetId="0" name="_xlnm.Print_Titles" vbProcedure="false">'перечень продукции'!$2:$14</definedName>
    <definedName function="false" hidden="false" name="Excel_BuiltIn_Print_Area_1" vbProcedure="false">'перечень продукции'!$A$1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<sst xmlns="http://schemas.openxmlformats.org/spreadsheetml/2006/main" count="1257" uniqueCount="672">
  <si>
    <t xml:space="preserve">Форма заявки (напечатана не будет)</t>
  </si>
  <si>
    <r>
      <rPr>
        <sz val="10"/>
        <color rgb="FF000000"/>
        <rFont val="Arial"/>
        <family val="2"/>
      </rPr>
      <t xml:space="preserve">Пожалуйста, заполните первый столбец и отправьте файл по электронной почте. Мы вышлем вам счёт и сводную таблицу с выбранными позициями. </t>
    </r>
    <r>
      <rPr>
        <b val="true"/>
        <sz val="10"/>
        <color rgb="FF000000"/>
        <rFont val="Arial"/>
        <family val="2"/>
      </rPr>
      <t xml:space="preserve">Просьба не менять структуру таблицы — это замедлит подготовку заказа.</t>
    </r>
  </si>
  <si>
    <t xml:space="preserve">перечень продукции</t>
  </si>
  <si>
    <t xml:space="preserve">дата и название организации (упростит обработку и ускорит наш ответ)</t>
  </si>
  <si>
    <t xml:space="preserve">оптовая цена, руб.</t>
  </si>
  <si>
    <t xml:space="preserve">масса одного</t>
  </si>
  <si>
    <t xml:space="preserve">кол-во</t>
  </si>
  <si>
    <t xml:space="preserve">сумма с НДС </t>
  </si>
  <si>
    <t xml:space="preserve">масса</t>
  </si>
  <si>
    <t xml:space="preserve">Рассчитанная масса не включает транспортную упаковку, которую мы подбираем исходя из выбранного вами ассортимента.
Мы сотрудничаем с транспортными компаниями и бесплатно довозим продукцию до терминала отправки в Пензе. Возможен самовывоз.</t>
  </si>
  <si>
    <t xml:space="preserve">название</t>
  </si>
  <si>
    <t xml:space="preserve">аналоги</t>
  </si>
  <si>
    <t xml:space="preserve">описание</t>
  </si>
  <si>
    <t xml:space="preserve">применяемость</t>
  </si>
  <si>
    <t xml:space="preserve">без НДС</t>
  </si>
  <si>
    <t xml:space="preserve">с НДС</t>
  </si>
  <si>
    <t xml:space="preserve">(для расчётов)</t>
  </si>
  <si>
    <t xml:space="preserve">р.</t>
  </si>
  <si>
    <t xml:space="preserve">кг</t>
  </si>
  <si>
    <t xml:space="preserve">датчики автомобильные</t>
  </si>
  <si>
    <t xml:space="preserve">•</t>
  </si>
  <si>
    <t xml:space="preserve">новая продукция</t>
  </si>
  <si>
    <t xml:space="preserve">ММ 111 В</t>
  </si>
  <si>
    <t xml:space="preserve">датчик аварийного давления масла</t>
  </si>
  <si>
    <t xml:space="preserve">ГАЗ, УАЗ</t>
  </si>
  <si>
    <t xml:space="preserve">ММ 111 Д</t>
  </si>
  <si>
    <t xml:space="preserve">ЗИЛ, КАМАЗ, МАЗ, Москвич 2141, УАЗ, Урал</t>
  </si>
  <si>
    <t xml:space="preserve">6002.3829,</t>
  </si>
  <si>
    <t xml:space="preserve">ЗИЛ, КАМАЗ, МАЗ, Урал</t>
  </si>
  <si>
    <t xml:space="preserve">6012.3829</t>
  </si>
  <si>
    <t xml:space="preserve">с байонетным разъёмом</t>
  </si>
  <si>
    <t xml:space="preserve">ДАДМ-03</t>
  </si>
  <si>
    <t xml:space="preserve">тракторы МТЗ</t>
  </si>
  <si>
    <t xml:space="preserve">3702.3829, ММ106</t>
  </si>
  <si>
    <t xml:space="preserve">сельхозтехника Ростсельмаш</t>
  </si>
  <si>
    <t xml:space="preserve">3602.3829, ММ126</t>
  </si>
  <si>
    <t xml:space="preserve">ММ 120 Д</t>
  </si>
  <si>
    <t xml:space="preserve">ВАЗ</t>
  </si>
  <si>
    <t xml:space="preserve">1118.3829 </t>
  </si>
  <si>
    <t xml:space="preserve">Лада Калина (1117, 1118, 1119), Лада Приора (2170)</t>
  </si>
  <si>
    <t xml:space="preserve">1118.3829</t>
  </si>
  <si>
    <t xml:space="preserve">со свечным кольцом, силиконовым уплотнителем, латунными контактами и светлым колпаком</t>
  </si>
  <si>
    <t xml:space="preserve">FAE 12703</t>
  </si>
  <si>
    <t xml:space="preserve">Рено (Логан, Каптюр и др.), Ниссан,</t>
  </si>
  <si>
    <t xml:space="preserve">VERNET OS3603, ASAM 32017, STELLOX 06-08022-SX</t>
  </si>
  <si>
    <t xml:space="preserve">Лада с двигателем К4М, Н4М, К7М (Ларгус и др.)</t>
  </si>
  <si>
    <t xml:space="preserve">ГАЗ</t>
  </si>
  <si>
    <t xml:space="preserve">ММ 124 Д (⬡ 22)</t>
  </si>
  <si>
    <t xml:space="preserve">датчик аварийного давления воздуха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</si>
  <si>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</si>
  <si>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</si>
  <si>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</si>
  <si>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</si>
  <si>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КАМАЗ, МАЗ, Урал</t>
  </si>
  <si>
    <t xml:space="preserve">(выключатель пневмат. сигнала торможения)</t>
  </si>
  <si>
    <t xml:space="preserve">ММ 125 Д (⬡ 27)</t>
  </si>
  <si>
    <t xml:space="preserve">ММ 125 Д (⬡ 27),</t>
  </si>
  <si>
    <t xml:space="preserve">КАМАЗ, МАЗ, ПАЗ, Урал</t>
  </si>
  <si>
    <t xml:space="preserve">ВП125</t>
  </si>
  <si>
    <t xml:space="preserve">(выключатель пневмат. сигнала торможения с байонетным разъёмом)</t>
  </si>
  <si>
    <t xml:space="preserve">датчик аварийного давления</t>
  </si>
  <si>
    <t xml:space="preserve">Урал (резьба — М16×1,5)</t>
  </si>
  <si>
    <t xml:space="preserve">12.220</t>
  </si>
  <si>
    <t xml:space="preserve">Форд, другие иномарки</t>
  </si>
  <si>
    <t xml:space="preserve">в блистерной упаковке</t>
  </si>
  <si>
    <t xml:space="preserve">ГАЗ 3307, 3309, Урал</t>
  </si>
  <si>
    <t xml:space="preserve">3408606, 2897690,</t>
  </si>
  <si>
    <t xml:space="preserve">датчик аварийного давления (топлива)</t>
  </si>
  <si>
    <t xml:space="preserve">двигатели Cummins КТТА-19</t>
  </si>
  <si>
    <t xml:space="preserve">3054615</t>
  </si>
  <si>
    <t xml:space="preserve">3408607</t>
  </si>
  <si>
    <t xml:space="preserve">двигатели Cummins КТА-19, КТТА-19, КТА-38, КТА-50</t>
  </si>
  <si>
    <t xml:space="preserve">2897709,</t>
  </si>
  <si>
    <t xml:space="preserve">3066439</t>
  </si>
  <si>
    <t xml:space="preserve">ТМ 106</t>
  </si>
  <si>
    <t xml:space="preserve">датчик температуры </t>
  </si>
  <si>
    <t xml:space="preserve">27.3828</t>
  </si>
  <si>
    <t xml:space="preserve">191.3847</t>
  </si>
  <si>
    <t xml:space="preserve">датчик положения коленвала</t>
  </si>
  <si>
    <t xml:space="preserve">ВАЗ 2107, Лада Калина (1117, 1118, 1119)</t>
  </si>
  <si>
    <t xml:space="preserve">51.3843, 343.3843</t>
  </si>
  <si>
    <t xml:space="preserve">датчик скорости (6 импульсов на оборот)</t>
  </si>
  <si>
    <t xml:space="preserve">ВАЗ 2110, 2111, 2112 (все варианты приборов, включая</t>
  </si>
  <si>
    <t xml:space="preserve">356.3843, 35172.04, 41.3843</t>
  </si>
  <si>
    <t xml:space="preserve">карбюраторные), 2108-2115 с электронным спидометром</t>
  </si>
  <si>
    <t xml:space="preserve">ДУ-1</t>
  </si>
  <si>
    <t xml:space="preserve">датчик уровня жидкости длиной 165 мм</t>
  </si>
  <si>
    <t xml:space="preserve">бачок охлаждающей жидкости ВАЗ</t>
  </si>
  <si>
    <t xml:space="preserve">ДУ-3</t>
  </si>
  <si>
    <t xml:space="preserve">датчик уровня жидкости длиной 125 мм</t>
  </si>
  <si>
    <t xml:space="preserve">ДУ-2</t>
  </si>
  <si>
    <t xml:space="preserve">датчик уровня жидкости длиной 200 мм</t>
  </si>
  <si>
    <t xml:space="preserve">бачок омывающей жидкости ВАЗ</t>
  </si>
  <si>
    <t xml:space="preserve">21083-3839210-03</t>
  </si>
  <si>
    <t xml:space="preserve">датчик уровня масла</t>
  </si>
  <si>
    <t xml:space="preserve">ВАЗ 2108-2115</t>
  </si>
  <si>
    <t xml:space="preserve">датчик уровня жидкости длиной 100–500 мм</t>
  </si>
  <si>
    <t xml:space="preserve">от 1200,00</t>
  </si>
  <si>
    <t xml:space="preserve">21.3847</t>
  </si>
  <si>
    <t xml:space="preserve">датчик положения распределительного вала</t>
  </si>
  <si>
    <t xml:space="preserve">ВАЗ с 16-клапанным двигателем</t>
  </si>
  <si>
    <t xml:space="preserve">датчики оборотов и скорости</t>
  </si>
  <si>
    <t xml:space="preserve">СТРМ.453624.005</t>
  </si>
  <si>
    <t xml:space="preserve">датчик частоты вращения (ДЧВ-01)</t>
  </si>
  <si>
    <t xml:space="preserve">БЕЛАЗ-7555В, БЕЛАЗ-75473 и др.</t>
  </si>
  <si>
    <t xml:space="preserve">СТРМ.453624.005-01</t>
  </si>
  <si>
    <t xml:space="preserve">датчик частоты вращения (ДЧВ-02)</t>
  </si>
  <si>
    <t xml:space="preserve">датчик частоты вращения (ДЧВ-03)</t>
  </si>
  <si>
    <t xml:space="preserve">3039524</t>
  </si>
  <si>
    <t xml:space="preserve">датчик оборотов (датчик тахометра)</t>
  </si>
  <si>
    <t xml:space="preserve">двигатель Cummins KTA19</t>
  </si>
  <si>
    <t xml:space="preserve">сельхозтехника Ростсельмаш, техника заказчика</t>
  </si>
  <si>
    <t xml:space="preserve">ПД8093-7</t>
  </si>
  <si>
    <t xml:space="preserve">датчик скорости  </t>
  </si>
  <si>
    <t xml:space="preserve">(A63R42.3843010), 342.3843, A63R42.3843010-02</t>
  </si>
  <si>
    <t xml:space="preserve">0501210855</t>
  </si>
  <si>
    <t xml:space="preserve">КАМАЗ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</si>
  <si>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</si>
  <si>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</si>
  <si>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</si>
  <si>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</si>
  <si>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</si>
  <si>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выключатель стоп-сигнала</t>
  </si>
  <si>
    <t xml:space="preserve">КАМАЗ, УАЗ</t>
  </si>
  <si>
    <t xml:space="preserve">15.3720</t>
  </si>
  <si>
    <t xml:space="preserve">выключатель концевой</t>
  </si>
  <si>
    <t xml:space="preserve">автобусы группы ГАЗ, КАМАЗ, троллейбусы, электробусы</t>
  </si>
  <si>
    <t xml:space="preserve">автобусы, троллейбусы, электробусы</t>
  </si>
  <si>
    <t xml:space="preserve">выключатель</t>
  </si>
  <si>
    <t xml:space="preserve">211.3720</t>
  </si>
  <si>
    <t xml:space="preserve">ВАЗ с электронной педалью газа</t>
  </si>
  <si>
    <t xml:space="preserve">21.3720</t>
  </si>
  <si>
    <t xml:space="preserve">ГАЗ, УАЗ, Шевроле Нива с электронными педалями газа</t>
  </si>
  <si>
    <t xml:space="preserve">21.3720-01</t>
  </si>
  <si>
    <t xml:space="preserve">выключатель положения педали сцепления</t>
  </si>
  <si>
    <t xml:space="preserve">ВК-418,12-3,12-5,ВЗХ</t>
  </si>
  <si>
    <t xml:space="preserve">выключатель света заднего хода</t>
  </si>
  <si>
    <t xml:space="preserve">ВАЗ, ГАЗ, КАМАЗ (гарантия 3 года)</t>
  </si>
  <si>
    <t xml:space="preserve">ВК 415, ВК 12-2</t>
  </si>
  <si>
    <t xml:space="preserve">ВАЗ (с увеличенным ресурсом, большой корпус)</t>
  </si>
  <si>
    <t xml:space="preserve">13.3720</t>
  </si>
  <si>
    <t xml:space="preserve">выключатель блокировки</t>
  </si>
  <si>
    <t xml:space="preserve">снегоходы Буран</t>
  </si>
  <si>
    <t xml:space="preserve">55.3710, ВЗХ-4</t>
  </si>
  <si>
    <t xml:space="preserve">ВЗХ-7</t>
  </si>
  <si>
    <t xml:space="preserve">Лада Калина, Лада Приора</t>
  </si>
  <si>
    <t xml:space="preserve">ВЗХ-9</t>
  </si>
  <si>
    <t xml:space="preserve">Лада Гранта, Калина, Приора с трос. прив. кор. передач</t>
  </si>
  <si>
    <t xml:space="preserve">3163-3710070</t>
  </si>
  <si>
    <t xml:space="preserve">выключатель сигнализации раб. трансмиссии</t>
  </si>
  <si>
    <t xml:space="preserve">УАЗ Патриот</t>
  </si>
  <si>
    <t xml:space="preserve">ВК 12-21</t>
  </si>
  <si>
    <t xml:space="preserve">ВК 12-41</t>
  </si>
  <si>
    <t xml:space="preserve">ВК 12-51,</t>
  </si>
  <si>
    <t xml:space="preserve">МТЗ-МК, УК1025, 1021, 1221, 1222, 1523,</t>
  </si>
  <si>
    <t xml:space="preserve">ЦИКС.642241.018</t>
  </si>
  <si>
    <t xml:space="preserve">ПВМ 822, 2102, 2022, 2522</t>
  </si>
  <si>
    <t xml:space="preserve">ВК 12-71,</t>
  </si>
  <si>
    <t xml:space="preserve">сельхозтехника Гомсельмаш</t>
  </si>
  <si>
    <t xml:space="preserve">ЦИКС.642241.026</t>
  </si>
  <si>
    <t xml:space="preserve">ВК 12-31, В14.3710,</t>
  </si>
  <si>
    <t xml:space="preserve">ГАЗ (Евро-3)</t>
  </si>
  <si>
    <t xml:space="preserve">3302.371601</t>
  </si>
  <si>
    <t xml:space="preserve">ВК24-1 (⬡ 27)</t>
  </si>
  <si>
    <t xml:space="preserve">0501.331.660      выключатель света заднего хода </t>
  </si>
  <si>
    <t xml:space="preserve">ВК 403, ВЗХ-2</t>
  </si>
  <si>
    <t xml:space="preserve">тягачи КАМАЗ, БАЗ</t>
  </si>
  <si>
    <t xml:space="preserve">с винтом</t>
  </si>
  <si>
    <t xml:space="preserve">с болтом</t>
  </si>
  <si>
    <t xml:space="preserve">ВК 418 Д (⬡ 27)</t>
  </si>
  <si>
    <t xml:space="preserve">ВАЗ, МАЗ, КАМАЗ, КРАЗ, КАВЗ, трактора</t>
  </si>
  <si>
    <t xml:space="preserve">0501.219.858     выключатель нейтрали</t>
  </si>
  <si>
    <t xml:space="preserve">ВК24-5</t>
  </si>
  <si>
    <t xml:space="preserve">выключатель делителя заднего хода</t>
  </si>
  <si>
    <t xml:space="preserve">МАЗ</t>
  </si>
  <si>
    <t xml:space="preserve">(ЦИКС.642241.021)</t>
  </si>
  <si>
    <t xml:space="preserve">выключатель с байонетным разъёмом</t>
  </si>
  <si>
    <t xml:space="preserve">КАМАЗ с кабиной Рестайлинг-2</t>
  </si>
  <si>
    <t xml:space="preserve">ВК24-07</t>
  </si>
  <si>
    <t xml:space="preserve">Газель Next с турбодизелем Volkswagen и 6-ступенч. КП</t>
  </si>
  <si>
    <t xml:space="preserve">ВК 12-4,</t>
  </si>
  <si>
    <t xml:space="preserve">тракторы, комбайны: СК-7, «НИВА», К-701, Т-250, МТЗ, КЗС</t>
  </si>
  <si>
    <t xml:space="preserve">15.3710</t>
  </si>
  <si>
    <t xml:space="preserve">промежуточного реле</t>
  </si>
  <si>
    <t xml:space="preserve">ДТ-75, КД-5РМ, «Сибиряк», КСС, ДОН-680, Т-75Б, Т75М</t>
  </si>
  <si>
    <t xml:space="preserve">Урал</t>
  </si>
  <si>
    <t xml:space="preserve">выключатель гидрозамка </t>
  </si>
  <si>
    <t xml:space="preserve">ВЗХ-5 (ВЭЛКОНТ)</t>
  </si>
  <si>
    <t xml:space="preserve">Шевроле Нива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</si>
  <si>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</si>
  <si>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
Цена указана при заказе от 1 тарного места.</t>
  </si>
  <si>
    <t xml:space="preserve">датчик вакуума (от −0,1 до −0,8 кгс/см²)</t>
  </si>
  <si>
    <t xml:space="preserve">техника заказчика</t>
  </si>
  <si>
    <t xml:space="preserve">←</t>
  </si>
  <si>
    <t xml:space="preserve">по этим позициями проще договариваться по телефону или электронной почте</t>
  </si>
  <si>
    <t xml:space="preserve">датчик аварийного давления воздуха, масла</t>
  </si>
  <si>
    <t xml:space="preserve">от 295,00</t>
  </si>
  <si>
    <t xml:space="preserve">с байонетным разъёмом (диапазон</t>
  </si>
  <si>
    <t xml:space="preserve">срабатывания по требованию заказчика от 0,3 до 5,0 кг/см²)</t>
  </si>
  <si>
    <t xml:space="preserve">датчик загрязнения</t>
  </si>
  <si>
    <t xml:space="preserve">техника заказчика, КАМАЗ</t>
  </si>
  <si>
    <t xml:space="preserve">(диапазон срабатывания по требованию</t>
  </si>
  <si>
    <t xml:space="preserve">заказчика от 0,1 до 3,0 кг/см²)</t>
  </si>
  <si>
    <t xml:space="preserve">выключатель пневмат. сигнала торможения</t>
  </si>
  <si>
    <t xml:space="preserve">с байонетным разъёмом (шестигранник ⬡ 22) </t>
  </si>
  <si>
    <t xml:space="preserve">заказчика от 0,3 до 1,2 кг/см²), байонетный разъём</t>
  </si>
  <si>
    <t xml:space="preserve">техника заказчика с требованием 2-проводной цепи,</t>
  </si>
  <si>
    <t xml:space="preserve">изолированной от корпуса датчика</t>
  </si>
  <si>
    <t xml:space="preserve">заказчика от 0,3 до 7,0 кг/см²)</t>
  </si>
  <si>
    <t xml:space="preserve">от 330,00</t>
  </si>
  <si>
    <t xml:space="preserve">(давление срабатывания 0,2 кг/см²)</t>
  </si>
  <si>
    <t xml:space="preserve">Газон Next E6 и ПАЗ Вектор Е6 с системой ADAS,</t>
  </si>
  <si>
    <t xml:space="preserve">гусеничные экскаваторы моделей Е 225.Е245,ТХ-220</t>
  </si>
  <si>
    <t xml:space="preserve">от 499,00</t>
  </si>
  <si>
    <t xml:space="preserve">выключатель </t>
  </si>
  <si>
    <t xml:space="preserve">1352.3768-11</t>
  </si>
  <si>
    <t xml:space="preserve">техника заказчика, трактор Buhler Versatile 2375</t>
  </si>
  <si>
    <t xml:space="preserve">автоэлектроника — регуляторы напряжения</t>
  </si>
  <si>
    <t xml:space="preserve">Я112А с ЩУ</t>
  </si>
  <si>
    <t xml:space="preserve">регулятор напряжения</t>
  </si>
  <si>
    <t xml:space="preserve">14 В</t>
  </si>
  <si>
    <t xml:space="preserve">Москвич, УАЗ нового образца</t>
  </si>
  <si>
    <t xml:space="preserve">41.3702 с ЩУ</t>
  </si>
  <si>
    <t xml:space="preserve">с щёточным узлом</t>
  </si>
  <si>
    <t xml:space="preserve">6015.3702А с ЩУ</t>
  </si>
  <si>
    <t xml:space="preserve">Ода с генератором</t>
  </si>
  <si>
    <t xml:space="preserve">провод с клеммой Ø 6мм</t>
  </si>
  <si>
    <t xml:space="preserve">Я112В1с ЩУ</t>
  </si>
  <si>
    <t xml:space="preserve">Г-222</t>
  </si>
  <si>
    <t xml:space="preserve">провод с разъёмом</t>
  </si>
  <si>
    <t xml:space="preserve">Я120М12И с ЩУ,</t>
  </si>
  <si>
    <t xml:space="preserve">28 В</t>
  </si>
  <si>
    <t xml:space="preserve">КАМАЗ с генератором</t>
  </si>
  <si>
    <t xml:space="preserve">Я120М12 с ЩУ</t>
  </si>
  <si>
    <t xml:space="preserve">3112.3771, 3122.3711</t>
  </si>
  <si>
    <t xml:space="preserve">Я120, 412.3702</t>
  </si>
  <si>
    <t xml:space="preserve">КАМАЗ, МАЗ, ГАЗ 3309</t>
  </si>
  <si>
    <t xml:space="preserve">с увеличенным ресурсом в блистерной упаковке</t>
  </si>
  <si>
    <t xml:space="preserve">Я120М12,</t>
  </si>
  <si>
    <t xml:space="preserve">КАМАЗ, МАЗ, Урал, ЗИЛ-6309 и др. с генератором</t>
  </si>
  <si>
    <t xml:space="preserve">Я120М12И</t>
  </si>
  <si>
    <t xml:space="preserve">3112.3771, 3122.3771</t>
  </si>
  <si>
    <t xml:space="preserve">Я120М1И2</t>
  </si>
  <si>
    <t xml:space="preserve">ГАЗ, УРАЛ, КамАЗ, МАЗ и др. с генераторами  ГГ273В1-3,</t>
  </si>
  <si>
    <t xml:space="preserve">1312.3771, 1322.-, 1342.-, 1352.-, 3112.-, 3122.-, 3142.- и др. </t>
  </si>
  <si>
    <t xml:space="preserve">121.3702М</t>
  </si>
  <si>
    <t xml:space="preserve">ВАЗ «классика»</t>
  </si>
  <si>
    <t xml:space="preserve">Я212А11</t>
  </si>
  <si>
    <t xml:space="preserve">ВАЗ с генераторами 37.3701,371.3701,372.3701</t>
  </si>
  <si>
    <t xml:space="preserve">в картонной коробке</t>
  </si>
  <si>
    <t xml:space="preserve">Я112А, 41.3702</t>
  </si>
  <si>
    <t xml:space="preserve">Я112А12</t>
  </si>
  <si>
    <t xml:space="preserve">14,1–14,5 В</t>
  </si>
  <si>
    <t xml:space="preserve">ГАЗ, УАЗ, ПАЗ, КАВЗ, Москвич, ЛАЗ, ЛиАЗ и др.</t>
  </si>
  <si>
    <t xml:space="preserve">Я112Б</t>
  </si>
  <si>
    <t xml:space="preserve">трактор</t>
  </si>
  <si>
    <t xml:space="preserve">Я112Б1И2</t>
  </si>
  <si>
    <t xml:space="preserve">ГАЗ-33104 и др. с генераторами 4202-1.3771,</t>
  </si>
  <si>
    <t xml:space="preserve">221.3771, 221.3771-01</t>
  </si>
  <si>
    <t xml:space="preserve">Я112В, 411.3702</t>
  </si>
  <si>
    <t xml:space="preserve">Я112В1,</t>
  </si>
  <si>
    <t xml:space="preserve">Москвич ИЖ-2126 «ОДА», Генератор Г-222</t>
  </si>
  <si>
    <t xml:space="preserve">6015.3702A</t>
  </si>
  <si>
    <t xml:space="preserve">с увеличенным ресурсом</t>
  </si>
  <si>
    <t xml:space="preserve">РР-362 Б1</t>
  </si>
  <si>
    <t xml:space="preserve">с переключателем «зима — лето»</t>
  </si>
  <si>
    <t xml:space="preserve">без переключателя «зима — лето»</t>
  </si>
  <si>
    <t xml:space="preserve">44.3702</t>
  </si>
  <si>
    <t xml:space="preserve">Газель</t>
  </si>
  <si>
    <t xml:space="preserve">РР-356</t>
  </si>
  <si>
    <t xml:space="preserve">13.3702-01</t>
  </si>
  <si>
    <t xml:space="preserve">Газель, Волга, УАЗ</t>
  </si>
  <si>
    <t xml:space="preserve">Я212А11Е, 36.3702</t>
  </si>
  <si>
    <t xml:space="preserve">ВАЗ, ГАЗ с генератором 94.3701</t>
  </si>
  <si>
    <t xml:space="preserve">611.3702-03</t>
  </si>
  <si>
    <t xml:space="preserve">14,5 В</t>
  </si>
  <si>
    <t xml:space="preserve">ВАЗ 2110, 2111, 2112, 2115, 2123, «Газель», «Соболь»</t>
  </si>
  <si>
    <t xml:space="preserve">55.3702П</t>
  </si>
  <si>
    <t xml:space="preserve">с генератором 9412.3701</t>
  </si>
  <si>
    <t xml:space="preserve">8454.3702, 849.3702</t>
  </si>
  <si>
    <t xml:space="preserve">ВАЗ 1117-1119 Калина</t>
  </si>
  <si>
    <t xml:space="preserve">5102.3771060</t>
  </si>
  <si>
    <t xml:space="preserve">ВАЗ, ГАЗ с генераторами 5102.3771, 5122.3771</t>
  </si>
  <si>
    <t xml:space="preserve">612.3702-06</t>
  </si>
  <si>
    <t xml:space="preserve">207.3702, 66.3702,</t>
  </si>
  <si>
    <t xml:space="preserve">рег. нап. с защитой от КЗ и возможн.</t>
  </si>
  <si>
    <t xml:space="preserve">ЗИЛ 5301 «Бычок», ЗИЛ-3250 с генераторами</t>
  </si>
  <si>
    <t xml:space="preserve">4202.3702</t>
  </si>
  <si>
    <t xml:space="preserve">подключения датчика тем-ры электролита</t>
  </si>
  <si>
    <t xml:space="preserve">20.3771, 2022.3771, 38.3701-10 и др.</t>
  </si>
  <si>
    <t xml:space="preserve">207.3702-10</t>
  </si>
  <si>
    <t xml:space="preserve">рег. нап. с защитой от КЗ и возможн.</t>
  </si>
  <si>
    <t xml:space="preserve">ЗИЛ 5301 «Бычок», ЗИЛ-3250</t>
  </si>
  <si>
    <t xml:space="preserve">с генератором 4573.3771 и др.</t>
  </si>
  <si>
    <t xml:space="preserve">7302.3702</t>
  </si>
  <si>
    <t xml:space="preserve">тракторные генераторы Г700, Г1000, 52.3771, 40.3771</t>
  </si>
  <si>
    <t xml:space="preserve">Я112Т с узлом З-Л,</t>
  </si>
  <si>
    <t xml:space="preserve">регулятор напряжения (зима-лето)</t>
  </si>
  <si>
    <t xml:space="preserve">тракторные генераторы Г700, Г1000</t>
  </si>
  <si>
    <t xml:space="preserve">68.3702</t>
  </si>
  <si>
    <t xml:space="preserve">7312.3702</t>
  </si>
  <si>
    <t xml:space="preserve">тракторные генераторы Г1000, 52.3771</t>
  </si>
  <si>
    <t xml:space="preserve">7342.3702</t>
  </si>
  <si>
    <t xml:space="preserve">тракторные генераторы 40.3771, Г3000</t>
  </si>
  <si>
    <t xml:space="preserve">7332.3702</t>
  </si>
  <si>
    <t xml:space="preserve">7352.3702</t>
  </si>
  <si>
    <t xml:space="preserve">7322.3702</t>
  </si>
  <si>
    <t xml:space="preserve">автоэлектроника — реле поворотов</t>
  </si>
  <si>
    <t xml:space="preserve">РС 951 А</t>
  </si>
  <si>
    <t xml:space="preserve">реле поворотов</t>
  </si>
  <si>
    <t xml:space="preserve">24 В</t>
  </si>
  <si>
    <t xml:space="preserve">КАМАЗ, МАЗ, CуперМАЗ, ГАЗ,</t>
  </si>
  <si>
    <t xml:space="preserve">ЗИЛ, Урал, БЕЛАЗ</t>
  </si>
  <si>
    <t xml:space="preserve">РП 3402.3777-22</t>
  </si>
  <si>
    <t xml:space="preserve">КАМАЗ ЕВРО (есть защита от КЗ)</t>
  </si>
  <si>
    <t xml:space="preserve">КАМАЗ ЕВРО (есть защита от КЗ) с зуммером</t>
  </si>
  <si>
    <t xml:space="preserve">гарантия на пробег не менее 500 000 км</t>
  </si>
  <si>
    <t xml:space="preserve">КАМАЗ, МАЗ, CуперМАЗ, ГАЗ, ЗИЛ,</t>
  </si>
  <si>
    <t xml:space="preserve">Урал, БЕЛАЗ (есть защита от КЗ)</t>
  </si>
  <si>
    <t xml:space="preserve">РПП-3.1-6К</t>
  </si>
  <si>
    <t xml:space="preserve">МАЗ, МоАЗ, автобусы Неман 5201, 52012</t>
  </si>
  <si>
    <t xml:space="preserve">РПП-3.1-6К-01, ПЭУП-8</t>
  </si>
  <si>
    <t xml:space="preserve">ПЭУП-6М</t>
  </si>
  <si>
    <t xml:space="preserve">ПЭУП-7, ПЭУП-7М</t>
  </si>
  <si>
    <t xml:space="preserve">РП 24-01 Д</t>
  </si>
  <si>
    <t xml:space="preserve">ПАЗ (кат 6), формула нагрузки (2×21+5)×2+1×3 w</t>
  </si>
  <si>
    <t xml:space="preserve">493.3747, 495.3747</t>
  </si>
  <si>
    <t xml:space="preserve">12 В</t>
  </si>
  <si>
    <t xml:space="preserve">ГАЗ, ВАЗ 2108-2115, Приора, Калина, Гранта</t>
  </si>
  <si>
    <t xml:space="preserve">ЭРП 1</t>
  </si>
  <si>
    <t xml:space="preserve">тракторы МТЗ, ЮМЗ</t>
  </si>
  <si>
    <t xml:space="preserve">РС 950</t>
  </si>
  <si>
    <t xml:space="preserve">ГАЗ 66, УАЗ, ЗИЛ</t>
  </si>
  <si>
    <t xml:space="preserve">РС 950 П</t>
  </si>
  <si>
    <t xml:space="preserve">Газель, ГАЗ 3307, ГАЗ 53, «Бычок»,</t>
  </si>
  <si>
    <t xml:space="preserve">Волга, ЗИЛ, РАФ</t>
  </si>
  <si>
    <t xml:space="preserve">РС 950 Н</t>
  </si>
  <si>
    <t xml:space="preserve">Москвич-2140, ЗИЛ</t>
  </si>
  <si>
    <t xml:space="preserve">РС 950 К</t>
  </si>
  <si>
    <t xml:space="preserve">ПАЗ, формула нагрузки (2×21+5)×2+1×3 w</t>
  </si>
  <si>
    <t xml:space="preserve">РС 950 С </t>
  </si>
  <si>
    <t xml:space="preserve">ЗИЛ 5301 «Бычок», 4331, 3250 и др.,</t>
  </si>
  <si>
    <t xml:space="preserve">формула нагрузки (3×21+21)×2+2×3 w</t>
  </si>
  <si>
    <t xml:space="preserve">формула нагрузки (3×21+21)×2+2×2 w</t>
  </si>
  <si>
    <t xml:space="preserve">ЗИЛ 5301 «Эвакуатор»,</t>
  </si>
  <si>
    <t xml:space="preserve">формула нагрузки (3×21)×2+1×3 w</t>
  </si>
  <si>
    <t xml:space="preserve">712.3777-06,</t>
  </si>
  <si>
    <t xml:space="preserve">ГАЗ 3302 Бизнес</t>
  </si>
  <si>
    <t xml:space="preserve">495.3747-03</t>
  </si>
  <si>
    <t xml:space="preserve">642.3747</t>
  </si>
  <si>
    <t xml:space="preserve">ГАЗ, ВАЗ 2104, 2106, 2121, 1111, УАЗ</t>
  </si>
  <si>
    <t xml:space="preserve">642.3747-01</t>
  </si>
  <si>
    <t xml:space="preserve">ГАЗ 31105, Газель</t>
  </si>
  <si>
    <t xml:space="preserve">ГАЗ 3102, ГАЗ 31029, ГАЗ 3110, ГАЗ 3302</t>
  </si>
  <si>
    <t xml:space="preserve">642.3747-02</t>
  </si>
  <si>
    <t xml:space="preserve">ГАЗ «Валдай»</t>
  </si>
  <si>
    <t xml:space="preserve">23.3747, 711.3777,</t>
  </si>
  <si>
    <t xml:space="preserve">ВАЗ 2104-2107, 2121, 1111, ГАЗ 31029, 3110, Газель</t>
  </si>
  <si>
    <t xml:space="preserve">32.3777</t>
  </si>
  <si>
    <t xml:space="preserve">87.3777</t>
  </si>
  <si>
    <t xml:space="preserve">ГАЗ 33081, 3309, МАЗ, КАМАЗ (Евро-3)</t>
  </si>
  <si>
    <t xml:space="preserve">с повышенной помехозащищённостью</t>
  </si>
  <si>
    <t xml:space="preserve">642.3747-03</t>
  </si>
  <si>
    <t xml:space="preserve">ГАЗ, ВАЗ 2104, 2106, 2121, 1111, УАЗ,</t>
  </si>
  <si>
    <t xml:space="preserve">оснащенные светодиодными лампами указателей поворота</t>
  </si>
  <si>
    <t xml:space="preserve">9112.3777</t>
  </si>
  <si>
    <t xml:space="preserve">ПАЗ, формула нагрузки (3×21)×2+1×1,2 w + защита от КЗ</t>
  </si>
  <si>
    <t xml:space="preserve">ПАЗ, формула нагрузки (3×21)×2+1×1,2 w</t>
  </si>
  <si>
    <t xml:space="preserve">ПАЗ 32053, 32054, 3206 и их модификации</t>
  </si>
  <si>
    <t xml:space="preserve">ВАЗ 2108, 21093, 21099, 2110, 2118, 2170, иномарки</t>
  </si>
  <si>
    <t xml:space="preserve">Hella 4AZ 001 879-021</t>
  </si>
  <si>
    <t xml:space="preserve">все типы автомобилей, формула нагрузки (2×21)×2 w</t>
  </si>
  <si>
    <t xml:space="preserve">712.3777-07</t>
  </si>
  <si>
    <t xml:space="preserve">495.3747-10</t>
  </si>
  <si>
    <t xml:space="preserve">ВАЗ 2108-2110, оснащённые светодиодными лампами</t>
  </si>
  <si>
    <t xml:space="preserve">VD-SGD202 HIGER</t>
  </si>
  <si>
    <t xml:space="preserve">JAC, DONGFENG, HOWO, FAW FOTON, SHACHMAN,</t>
  </si>
  <si>
    <t xml:space="preserve">Higer, Golden Dragon, Yutong</t>
  </si>
  <si>
    <t xml:space="preserve">автоэлектроника — другие реле</t>
  </si>
  <si>
    <t xml:space="preserve">блок управления краном отопителя </t>
  </si>
  <si>
    <t xml:space="preserve">Газель Next, Газель 2020</t>
  </si>
  <si>
    <t xml:space="preserve">526.3747</t>
  </si>
  <si>
    <t xml:space="preserve">реле стеклоочистителя</t>
  </si>
  <si>
    <t xml:space="preserve">ВАЗ 2108-2115, 2118, 2120</t>
  </si>
  <si>
    <t xml:space="preserve">54.3777, 411.3777</t>
  </si>
  <si>
    <t xml:space="preserve">ВАЗ 2108, 2109, 2113, 2114, 2115, 2170</t>
  </si>
  <si>
    <t xml:space="preserve">723.3777-01</t>
  </si>
  <si>
    <t xml:space="preserve">(программная регулировка паузы)</t>
  </si>
  <si>
    <t xml:space="preserve">Калина, Гранта, ГАЗ311, Газель-Бизнес</t>
  </si>
  <si>
    <t xml:space="preserve">ВАЗ 2108-2115, Приора, Калина, Гранта</t>
  </si>
  <si>
    <t xml:space="preserve">526.3747-04</t>
  </si>
  <si>
    <t xml:space="preserve">Газель-Бизнес</t>
  </si>
  <si>
    <t xml:space="preserve">528.3747</t>
  </si>
  <si>
    <t xml:space="preserve">ВАЗ 2108, 2109, 2110, Шевроле Нива, АЗЛК-2141, УАЗ</t>
  </si>
  <si>
    <t xml:space="preserve">721.3777-01,</t>
  </si>
  <si>
    <t xml:space="preserve">ВАЗ 2108-2121 (старый блок предохранителей),</t>
  </si>
  <si>
    <t xml:space="preserve">413.377</t>
  </si>
  <si>
    <t xml:space="preserve">Шевроле Нива, АЗЛК-2141, ИЖ-2126, УАЗ 3160</t>
  </si>
  <si>
    <t xml:space="preserve">РСО 502.3747</t>
  </si>
  <si>
    <t xml:space="preserve">РСО 3502.3777</t>
  </si>
  <si>
    <t xml:space="preserve">КАМАЗ ЕВРО</t>
  </si>
  <si>
    <t xml:space="preserve">461.3747</t>
  </si>
  <si>
    <t xml:space="preserve">46.3747</t>
  </si>
  <si>
    <t xml:space="preserve">ГАЗ, МАЗ, СуперМАЗ</t>
  </si>
  <si>
    <t xml:space="preserve">РЭС-1М</t>
  </si>
  <si>
    <t xml:space="preserve">МАЗ 5440А9</t>
  </si>
  <si>
    <t xml:space="preserve">JD269A</t>
  </si>
  <si>
    <t xml:space="preserve">автобусы Yutong ZK6737D, ShenLong SLK6101 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</si>
  <si>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</si>
  <si>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КАМАЗ, МАЗ, сельхозтехника</t>
  </si>
  <si>
    <t xml:space="preserve">22.3777</t>
  </si>
  <si>
    <t xml:space="preserve">реле задних противотуманных огней</t>
  </si>
  <si>
    <t xml:space="preserve">ПАЗ</t>
  </si>
  <si>
    <t xml:space="preserve">22.3777-01</t>
  </si>
  <si>
    <t xml:space="preserve">23.3777</t>
  </si>
  <si>
    <t xml:space="preserve">ВАЗ 2110 и их модификации, ВАЗ 2114, 2115</t>
  </si>
  <si>
    <t xml:space="preserve">реле управления лампами АБС</t>
  </si>
  <si>
    <t xml:space="preserve">УАЗ</t>
  </si>
  <si>
    <t xml:space="preserve">454.3747, 726.3777</t>
  </si>
  <si>
    <t xml:space="preserve">прерыватель омывателя заднего стекла</t>
  </si>
  <si>
    <t xml:space="preserve">ВАЗ 2108, 2109, 2112, УАЗ 3163</t>
  </si>
  <si>
    <t xml:space="preserve">456.3747-02</t>
  </si>
  <si>
    <t xml:space="preserve">реле обогрева ветрового стекла</t>
  </si>
  <si>
    <t xml:space="preserve">УАЗ PATRIOT</t>
  </si>
  <si>
    <t xml:space="preserve">361.3787</t>
  </si>
  <si>
    <t xml:space="preserve">реле обогрева заднего стекла</t>
  </si>
  <si>
    <t xml:space="preserve">ВАЗ 2104-2115, Нива, Приора</t>
  </si>
  <si>
    <t xml:space="preserve">COBO 18.0124.0000</t>
  </si>
  <si>
    <t xml:space="preserve">реле времени</t>
  </si>
  <si>
    <t xml:space="preserve">реле времени обогрева ветрового стекла</t>
  </si>
  <si>
    <t xml:space="preserve">автобусы ПАЗ, автосельхозтехника</t>
  </si>
  <si>
    <t xml:space="preserve">451.3777</t>
  </si>
  <si>
    <t xml:space="preserve">Волжанин, ГАЗ, КАМАЗ, ЛиАЗ, ПАЗ</t>
  </si>
  <si>
    <t xml:space="preserve">392.3747, 523.3747</t>
  </si>
  <si>
    <t xml:space="preserve">Все модели ГАЗ на базе Газели</t>
  </si>
  <si>
    <t xml:space="preserve">РС 711-01</t>
  </si>
  <si>
    <t xml:space="preserve">реле переключения фар</t>
  </si>
  <si>
    <t xml:space="preserve">модификации ГАЗ-24, 3102, 31029, 3110</t>
  </si>
  <si>
    <t xml:space="preserve">4412.3777</t>
  </si>
  <si>
    <t xml:space="preserve">реле контроля исправности ламп</t>
  </si>
  <si>
    <t xml:space="preserve">модификации ВАЗ 2108, 2109, 2110</t>
  </si>
  <si>
    <t xml:space="preserve">ВАЗ 2108-2110, оснащенные светодиодными лампами</t>
  </si>
  <si>
    <t xml:space="preserve">4452.3747 </t>
  </si>
  <si>
    <t xml:space="preserve">ВАЗ 2115</t>
  </si>
  <si>
    <t xml:space="preserve">реле контроля ближнего света фар</t>
  </si>
  <si>
    <t xml:space="preserve">ГАЗ со светодиодными фарами ближнего света</t>
  </si>
  <si>
    <t xml:space="preserve">733.3747</t>
  </si>
  <si>
    <t xml:space="preserve">зуммер (звуковое реле, сигнализатор)</t>
  </si>
  <si>
    <t xml:space="preserve">тракторы МТЗ, дорожная техника на 12 В</t>
  </si>
  <si>
    <t xml:space="preserve">733.3747-10</t>
  </si>
  <si>
    <t xml:space="preserve">КАМАЗ, ЗИЛ, УРАЛ, КРАЗ, ГАЗ, БЕЛАЗ, ЛИАЗ</t>
  </si>
  <si>
    <t xml:space="preserve">РСО 52.3761</t>
  </si>
  <si>
    <t xml:space="preserve">ЗИЛ 5301 «Бычок»</t>
  </si>
  <si>
    <t xml:space="preserve">89.3777</t>
  </si>
  <si>
    <t xml:space="preserve">ГАЗ-33081, 3309</t>
  </si>
  <si>
    <t xml:space="preserve">РС 514</t>
  </si>
  <si>
    <t xml:space="preserve">РС 431</t>
  </si>
  <si>
    <t xml:space="preserve">Волга ГАЗ-24</t>
  </si>
  <si>
    <t xml:space="preserve">РБС 2602.3747</t>
  </si>
  <si>
    <t xml:space="preserve">реле блокировки стартера</t>
  </si>
  <si>
    <t xml:space="preserve">КАМАЗ, КРАЗ, Урал, ЗИЛ</t>
  </si>
  <si>
    <t xml:space="preserve">РСЭ 8522.3777</t>
  </si>
  <si>
    <t xml:space="preserve">реле стартера электронное</t>
  </si>
  <si>
    <t xml:space="preserve">РБС 2612.3747</t>
  </si>
  <si>
    <t xml:space="preserve">7302.3777-01</t>
  </si>
  <si>
    <t xml:space="preserve">ГАЗ 3310, 33104 «Валдай»</t>
  </si>
  <si>
    <t xml:space="preserve">РБС 111.3733.000</t>
  </si>
  <si>
    <t xml:space="preserve">реле стартера</t>
  </si>
  <si>
    <t xml:space="preserve">738.3747</t>
  </si>
  <si>
    <t xml:space="preserve">реле стартера (замыкающее </t>
  </si>
  <si>
    <t xml:space="preserve">ЗИЛ, ГАЗ, ПАЗ, КАвЗ,</t>
  </si>
  <si>
    <t xml:space="preserve">50/15 А, 12 В</t>
  </si>
  <si>
    <t xml:space="preserve">5-контактное с кронштейном)</t>
  </si>
  <si>
    <t xml:space="preserve">автопогрузчик УАЗ-3160, ГАЗ-3307</t>
  </si>
  <si>
    <t xml:space="preserve">738.3747-20</t>
  </si>
  <si>
    <t xml:space="preserve">50 А, 24 В</t>
  </si>
  <si>
    <t xml:space="preserve">738.3747-30</t>
  </si>
  <si>
    <t xml:space="preserve">МТЗ, ПАЗ 32053 Евро 4,</t>
  </si>
  <si>
    <t xml:space="preserve">50 А, 12 В</t>
  </si>
  <si>
    <t xml:space="preserve">сельхоз- и строительная техника</t>
  </si>
  <si>
    <t xml:space="preserve">71.3747</t>
  </si>
  <si>
    <t xml:space="preserve">реле стартера (замыкающее</t>
  </si>
  <si>
    <t xml:space="preserve">Лада Гранта 2190, Калина 1117, 1118, 1119,</t>
  </si>
  <si>
    <t xml:space="preserve">50 А, 12 В</t>
  </si>
  <si>
    <t xml:space="preserve">4-контактное без кармана под кронштейн)</t>
  </si>
  <si>
    <t xml:space="preserve">2192 FL, 2194 FL, Приора 2170, 2172 (FL)</t>
  </si>
  <si>
    <t xml:space="preserve">71.3747-01</t>
  </si>
  <si>
    <t xml:space="preserve">УАЗ, ВАЗ</t>
  </si>
  <si>
    <t xml:space="preserve">71.3747-02</t>
  </si>
  <si>
    <t xml:space="preserve">ЗИЛ, Урал, УАЗ, ИЖ, КАВЗ,</t>
  </si>
  <si>
    <t xml:space="preserve">ЛАЗ, КАМАЗ, ЛуАЗ, иномарки</t>
  </si>
  <si>
    <t xml:space="preserve">71.3747-03</t>
  </si>
  <si>
    <t xml:space="preserve">70 А, 12 В</t>
  </si>
  <si>
    <t xml:space="preserve">71.3747-11</t>
  </si>
  <si>
    <t xml:space="preserve">ГАЗ, ЗИЛ, КАМАЗ, МАЗ,</t>
  </si>
  <si>
    <t xml:space="preserve">30 А, 24 В</t>
  </si>
  <si>
    <t xml:space="preserve">Сканиа, автобусы ПАЗ, иномарки</t>
  </si>
  <si>
    <t xml:space="preserve">71.3747-21</t>
  </si>
  <si>
    <t xml:space="preserve">реле стартера (замык. 4-конт. без кармана</t>
  </si>
  <si>
    <t xml:space="preserve">ВАЗ 2170 (Приора), ГАЗ</t>
  </si>
  <si>
    <t xml:space="preserve">под кронштейн и с помехоподавл. резистором)</t>
  </si>
  <si>
    <t xml:space="preserve">YL368-A</t>
  </si>
  <si>
    <t xml:space="preserve">МАЗ (Евро-3)</t>
  </si>
  <si>
    <t xml:space="preserve">80 А, 24/14 В</t>
  </si>
  <si>
    <t xml:space="preserve">71.3747-111</t>
  </si>
  <si>
    <t xml:space="preserve">ГАЗ, ЗИЛ, КАМАЗ, МАЗ</t>
  </si>
  <si>
    <t xml:space="preserve">732.3747</t>
  </si>
  <si>
    <t xml:space="preserve">МАЗ, ЗАЗ, БелАЗ, ЛАЗ, КАМАЗ</t>
  </si>
  <si>
    <t xml:space="preserve">25 А, 12 В</t>
  </si>
  <si>
    <t xml:space="preserve">4-контактное с кронштейном)</t>
  </si>
  <si>
    <t xml:space="preserve">732.3747-10</t>
  </si>
  <si>
    <t xml:space="preserve">БелАЗ</t>
  </si>
  <si>
    <t xml:space="preserve">15 А, 24 В</t>
  </si>
  <si>
    <t xml:space="preserve">711.3747</t>
  </si>
  <si>
    <t xml:space="preserve">711.3747-01</t>
  </si>
  <si>
    <t xml:space="preserve">ЛАЗ, КАМАЗ, ЛуАЗ, ГАЗ</t>
  </si>
  <si>
    <t xml:space="preserve">711.3747-02</t>
  </si>
  <si>
    <t xml:space="preserve">711.3747-11</t>
  </si>
  <si>
    <t xml:space="preserve">Сканиа, автобусы ПАЗ</t>
  </si>
  <si>
    <t xml:space="preserve">711.3747-111</t>
  </si>
  <si>
    <t xml:space="preserve">реле стартера (замыкающее 4-контактное</t>
  </si>
  <si>
    <t xml:space="preserve">с кронштейном и помехоподавл. резистором)</t>
  </si>
  <si>
    <t xml:space="preserve">711.3747-131</t>
  </si>
  <si>
    <t xml:space="preserve">45 А, 24 В</t>
  </si>
  <si>
    <t xml:space="preserve">универсальные электромагнитные реле с плоскими выводами</t>
  </si>
  <si>
    <t xml:space="preserve">98.3747-011</t>
  </si>
  <si>
    <t xml:space="preserve">реле перекл. 5-к. с помехоподавл. резистором</t>
  </si>
  <si>
    <t xml:space="preserve">Приора, Калина, Сенс, иномарки</t>
  </si>
  <si>
    <t xml:space="preserve">20/10 А, 12 В</t>
  </si>
  <si>
    <t xml:space="preserve">98.3747-111</t>
  </si>
  <si>
    <t xml:space="preserve">реле замык. 4-к. с помехоподавл. резистором</t>
  </si>
  <si>
    <t xml:space="preserve">20 А, 12 В</t>
  </si>
  <si>
    <t xml:space="preserve">981.3747-01</t>
  </si>
  <si>
    <t xml:space="preserve">КАМАЗ, МАЗ</t>
  </si>
  <si>
    <t xml:space="preserve">12/6 А, 24 В</t>
  </si>
  <si>
    <t xml:space="preserve">981.3747-11</t>
  </si>
  <si>
    <t xml:space="preserve">12 А, 24 В</t>
  </si>
  <si>
    <t xml:space="preserve">984.3747-10</t>
  </si>
  <si>
    <t xml:space="preserve">реле замык. 4-конт. с боковыми выступами</t>
  </si>
  <si>
    <t xml:space="preserve">20 А, 12 В</t>
  </si>
  <si>
    <t xml:space="preserve">VF4-45H11-S05</t>
  </si>
  <si>
    <t xml:space="preserve">реле перекл. 5-контактное с диодом</t>
  </si>
  <si>
    <t xml:space="preserve">20/15 А, 24 В</t>
  </si>
  <si>
    <t xml:space="preserve">90.3747</t>
  </si>
  <si>
    <t xml:space="preserve">реле переключ. 5-конт. c кронштейном</t>
  </si>
  <si>
    <t xml:space="preserve">30/20 А, 12 В</t>
  </si>
  <si>
    <t xml:space="preserve">40 А, 12 В</t>
  </si>
  <si>
    <t xml:space="preserve">реле переключ. 5-конт. без кармана под кронштейн</t>
  </si>
  <si>
    <t xml:space="preserve">902.3747</t>
  </si>
  <si>
    <t xml:space="preserve">реле переключ. 5-конт. с кронштейном и помехоподавляющим резистором</t>
  </si>
  <si>
    <t xml:space="preserve">902.3747-РК</t>
  </si>
  <si>
    <t xml:space="preserve">реле переключ. 5-конт. с кронштейном</t>
  </si>
  <si>
    <t xml:space="preserve">90.3747-01</t>
  </si>
  <si>
    <t xml:space="preserve">реле переключ. 5-конт. с карманом под кронштейн</t>
  </si>
  <si>
    <t xml:space="preserve">902.3747-01</t>
  </si>
  <si>
    <t xml:space="preserve">реле переключ. 5-конт. с карманом под кронштейн и помехоподавл. резистором</t>
  </si>
  <si>
    <t xml:space="preserve">904.3747</t>
  </si>
  <si>
    <t xml:space="preserve">30/20 А, 12 В</t>
  </si>
  <si>
    <t xml:space="preserve">906.3747</t>
  </si>
  <si>
    <t xml:space="preserve">реле переключ. 5-конт. без кармана под кронштейн и с помехоподавл. резистором</t>
  </si>
  <si>
    <t xml:space="preserve">90.3747-10</t>
  </si>
  <si>
    <t xml:space="preserve">реле замык. 4-конт. с кронштейном</t>
  </si>
  <si>
    <t xml:space="preserve">30 А, 12 В</t>
  </si>
  <si>
    <t xml:space="preserve">реле замык. 4-конт. без кармана под кронштейн</t>
  </si>
  <si>
    <t xml:space="preserve">902.3747-10</t>
  </si>
  <si>
    <t xml:space="preserve">реле замык. 4-конт. с кронштейном и помехоподавляющим резистором</t>
  </si>
  <si>
    <t xml:space="preserve">90.3747-11</t>
  </si>
  <si>
    <t xml:space="preserve">реле замык. 4-конт. с карманом под кронштейн</t>
  </si>
  <si>
    <t xml:space="preserve">902.3747-11</t>
  </si>
  <si>
    <t xml:space="preserve">реле замык. 4-конт. с карманом под кронштейн и помехоподавл. резистором</t>
  </si>
  <si>
    <t xml:space="preserve">904.3747-10</t>
  </si>
  <si>
    <t xml:space="preserve">906.3747-10</t>
  </si>
  <si>
    <t xml:space="preserve">реле замык. 4-конт. без кармана под кронштейн и с помехоподавл. резистором</t>
  </si>
  <si>
    <t xml:space="preserve">901.3747</t>
  </si>
  <si>
    <t xml:space="preserve">20/10 А, 24 В</t>
  </si>
  <si>
    <t xml:space="preserve">901.3747 РК</t>
  </si>
  <si>
    <t xml:space="preserve">40 А, 24 В</t>
  </si>
  <si>
    <t xml:space="preserve">30 А, 24 В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</si>
  <si>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</si>
  <si>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</si>
  <si>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</si>
  <si>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</si>
  <si>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</si>
  <si>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</si>
  <si>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20 А, 24 В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</si>
  <si>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</si>
  <si>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</si>
  <si>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</si>
  <si>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</si>
  <si>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</si>
  <si>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</si>
  <si>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</si>
  <si>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</si>
  <si>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</si>
  <si>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</si>
  <si>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</si>
  <si>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</si>
  <si>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</si>
  <si>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</si>
  <si>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</si>
  <si>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реле переключ. 5-конт.</t>
  </si>
  <si>
    <t xml:space="preserve">80 А, 24 В</t>
  </si>
  <si>
    <t xml:space="preserve">YL-368-A-24-R </t>
  </si>
  <si>
    <t xml:space="preserve">реле стартера замык. 4-конт. с помехоподавляющим резистором</t>
  </si>
  <si>
    <t xml:space="preserve">YL-398-А-24</t>
  </si>
  <si>
    <t xml:space="preserve">реле замык. 4-конт. </t>
  </si>
  <si>
    <t xml:space="preserve">YL-398-А-24-R</t>
  </si>
  <si>
    <t xml:space="preserve">реле замык. 4-конт. с помехоподавляющим резистором</t>
  </si>
  <si>
    <t xml:space="preserve">YL-398-C-12-R</t>
  </si>
  <si>
    <t xml:space="preserve">реле переключ. 5-конт.с помехоподавляющим резистором</t>
  </si>
  <si>
    <t xml:space="preserve">25/20 А, 12 В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</si>
  <si>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</si>
  <si>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</si>
  <si>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</si>
  <si>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</si>
  <si>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реле замык. 5-конт</t>
  </si>
  <si>
    <t xml:space="preserve">25/35 А, 24 В</t>
  </si>
  <si>
    <t xml:space="preserve">YL-309-C-24-R</t>
  </si>
  <si>
    <t xml:space="preserve">YL-314-А-24</t>
  </si>
  <si>
    <t xml:space="preserve">реле замык. 4-конт</t>
  </si>
  <si>
    <t xml:space="preserve">40 А, 24 В</t>
  </si>
  <si>
    <t xml:space="preserve">YL-314-А-24-D</t>
  </si>
  <si>
    <t xml:space="preserve">реле замык. 4-конт. с помехоподавляющим диодом</t>
  </si>
  <si>
    <t xml:space="preserve">YL-314-C-24</t>
  </si>
  <si>
    <t xml:space="preserve">реле замык. 5-конт.</t>
  </si>
  <si>
    <t xml:space="preserve">YL-314-C-24-D</t>
  </si>
  <si>
    <t xml:space="preserve">реле переключ. 5-конт.с помехоподавляющим диодом</t>
  </si>
  <si>
    <t xml:space="preserve">YL-314-C-24-R</t>
  </si>
  <si>
    <t xml:space="preserve">YL-315-С-12</t>
  </si>
  <si>
    <t xml:space="preserve">40/30 А, 12 В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</si>
  <si>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</si>
  <si>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</si>
  <si>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</si>
  <si>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реле замыкающее</t>
  </si>
  <si>
    <t xml:space="preserve">10 А, 12 В   </t>
  </si>
  <si>
    <t xml:space="preserve">реле переключающее</t>
  </si>
  <si>
    <t xml:space="preserve">10/5 А, 12 В   </t>
  </si>
  <si>
    <t xml:space="preserve">TRAW-24VDC</t>
  </si>
  <si>
    <t xml:space="preserve">6 А, 24 В   </t>
  </si>
  <si>
    <t xml:space="preserve">6/3 А, 24 В   </t>
  </si>
  <si>
    <t xml:space="preserve">20/10 А, 24 В   </t>
  </si>
  <si>
    <t xml:space="preserve">30/20 А, 12 В   </t>
  </si>
  <si>
    <t xml:space="preserve">30 А, 12 В   </t>
  </si>
  <si>
    <t xml:space="preserve">20 А, 24 В   </t>
  </si>
  <si>
    <t xml:space="preserve">реле замыкающие закрытого типа (9 вариантов исполнения)</t>
  </si>
  <si>
    <t xml:space="preserve">12 В / 24 В   </t>
  </si>
  <si>
    <t xml:space="preserve">от 52,00</t>
  </si>
  <si>
    <t xml:space="preserve">реле переключающие закрытого типа (9 вариантов исполнения)</t>
  </si>
  <si>
    <t xml:space="preserve">от 54,00</t>
  </si>
  <si>
    <t xml:space="preserve">другая продукция</t>
  </si>
  <si>
    <t xml:space="preserve">кран радиатора для слива</t>
  </si>
  <si>
    <t xml:space="preserve">все модели ВАЗ</t>
  </si>
  <si>
    <t xml:space="preserve">охлаждающей жидкости</t>
  </si>
  <si>
    <t xml:space="preserve">в блистерной упаковке   </t>
  </si>
  <si>
    <t xml:space="preserve">кран блока для слива</t>
  </si>
  <si>
    <t xml:space="preserve">щёточный узел</t>
  </si>
  <si>
    <t xml:space="preserve">ВАЗ 2101, 2103, 2106 с генератором Г221-А</t>
  </si>
  <si>
    <t xml:space="preserve">ВАЗ 2104, 2105, 2107 с генератором Г222</t>
  </si>
  <si>
    <t xml:space="preserve">заклёпки и контакты из меди, алюминия и стали на заказ (ø 1,0−8,0 мм)</t>
  </si>
  <si>
    <t xml:space="preserve">договорная</t>
  </si>
  <si>
    <t xml:space="preserve">продукция из резиноподобного материала</t>
  </si>
  <si>
    <t xml:space="preserve">корпуса выпускаемых моделей продукции, литьё на заказ</t>
  </si>
  <si>
    <t xml:space="preserve">из полипропилена, с магнитом</t>
  </si>
  <si>
    <t xml:space="preserve">датчики уровня</t>
  </si>
  <si>
    <t xml:space="preserve">стальные пружины различной формы и толщины на заказ</t>
  </si>
  <si>
    <t xml:space="preserve">(по чертежу или эскизу, объем заказа не менее 10 000 штук, ø проволоки 0,3−1,2 мм)</t>
  </si>
  <si>
    <t xml:space="preserve">нанесение надписей, логотипов и рисунков на корпуса по чертежу заказчика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</si>
  <si>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</si>
  <si>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</si>
  <si>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</si>
  <si>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Версия от 10 марта 2025 года, правки от 9 апреля</t>
  </si>
  <si>
    <t xml:space="preserve">Ячейки с названиями продукции — ссылки на страницы с описанием и фотографией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</si>
</sst>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.00\ [$руб.-419];[RED]\-#,##0.00\ [$руб.-419]"/>
    <numFmt numFmtId="166" formatCode="[$-419]0.00"/>
    <numFmt numFmtId="167" formatCode="[$-419]#,##0"/>
    <numFmt numFmtId="168" formatCode="[$-419]#,##0.00"/>
    <numFmt numFmtId="169" formatCode="[$-419]#,##0.00&quot; р.&quot;;\-#,##0.00&quot; р.&quot;"/>
    <numFmt numFmtId="170" formatCode="[$-419]#,##0.0"/>
    <numFmt numFmtId="171" formatCode="0.0&quot; кг&quot;"/>
    <numFmt numFmtId="172" formatCode="General"/>
    <numFmt numFmtId="173" formatCode="#.00"/>
    <numFmt numFmtId="174" formatCode="0"/>
    <numFmt numFmtId="175" formatCode="#,##0.00\ [$р.-419]"/>
    <numFmt numFmtId="176" formatCode="[$-419]#,##0.0\ [$кг.]"/>
    <numFmt numFmtId="177" formatCode="0.00"/>
    <numFmt numFmtId="178" formatCode="[$-419]General"/>
  </numFmts>
  <fonts count="27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i val="true"/>
      <sz val="10"/>
      <color rgb="FF245E8A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b val="true"/>
      <i val="true"/>
      <sz val="14"/>
      <color rgb="FF245E8A"/>
      <name val="Arial"/>
      <family val="2"/>
    </font>
    <font>
      <sz val="10"/>
      <color rgb="FF000000"/>
      <name val="Liberation Sans Narrow"/>
      <family val="2"/>
    </font>
    <font>
      <sz val="9"/>
      <color rgb="FF000000"/>
      <name val="Arial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0FDDF"/>
        <bgColor rgb="FFDFFDE2"/>
      </patternFill>
    </fill>
    <fill>
      <patternFill patternType="solid">
        <fgColor rgb="FFDFFDE2"/>
        <bgColor rgb="FFE0FDDF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4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</cellStyleXfs>
  <cellXfs count="219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7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8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70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8" fillId="3" borderId="3" xfId="4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" fillId="2" borderId="0" xfId="3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2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5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2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5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6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77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7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7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4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7" fontId="0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6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18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6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0" fillId="3" borderId="0" xfId="2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8" fontId="0" fillId="3" borderId="0" xfId="2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0" xfId="25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77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0" fillId="2" borderId="0" xfId="2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0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8" fontId="23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2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1" xfId="36"/>
    <cellStyle name="header" xfId="37"/>
    <cellStyle name="header contacts" xfId="38"/>
    <cellStyle name="header table-column" xfId="39"/>
    <cellStyle name="header table-colum right" xfId="40"/>
    <cellStyle name="undeletable" xfId="41"/>
    <cellStyle name="hyperlink" xfId="42"/>
    <cellStyle name="hyperlink right+hidden" xfId="43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  <dxf>
      <fill>
        <patternFill patternType="solid">
          <fgColor rgb="FFDFFDE2"/>
          <bgColor rgb="FF000000"/>
        </patternFill>
      </fill>
    </dxf>
    <dxf>
      <fill>
        <patternFill patternType="solid">
          <fgColor rgb="FFE0FDDF"/>
          <bgColor rgb="FF000000"/>
        </patternFill>
      </fill>
    </dxf>
    <dxf>
      <fill>
        <patternFill patternType="solid">
          <fgColor rgb="FF245E8A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DFFDE2"/>
      <rgbColor rgb="FF660066"/>
      <rgbColor rgb="FFFF8080"/>
      <rgbColor rgb="FF245E8A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0FDD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13</xdr:col>
      <xdr:colOff>386640</xdr:colOff>
      <xdr:row>1</xdr:row>
      <xdr:rowOff>127080</xdr:rowOff>
    </xdr:from>
    <xdr:to>
      <xdr:col>14</xdr:col>
      <xdr:colOff>405000</xdr:colOff>
      <xdr:row>6</xdr:row>
      <xdr:rowOff>113040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67640" y="28980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6</xdr:col>
      <xdr:colOff>628200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74520</xdr:colOff>
      <xdr:row>492</xdr:row>
      <xdr:rowOff>34920</xdr:rowOff>
    </xdr:from>
    <xdr:to>
      <xdr:col>14</xdr:col>
      <xdr:colOff>515160</xdr:colOff>
      <xdr:row>493</xdr:row>
      <xdr:rowOff>729720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105320" y="97975440"/>
          <a:ext cx="3030840" cy="730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LM68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95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8"/>
    <col collapsed="false" customWidth="true" hidden="false" outlineLevel="0" max="2" min="2" style="1" width="1.53"/>
    <col collapsed="false" customWidth="true" hidden="false" outlineLevel="0" max="3" min="3" style="2" width="14.91"/>
    <col collapsed="false" customWidth="true" hidden="false" outlineLevel="0" max="5" min="4" style="1" width="3.58"/>
    <col collapsed="false" customWidth="true" hidden="false" outlineLevel="0" max="6" min="6" style="1" width="10.21"/>
    <col collapsed="false" customWidth="true" hidden="false" outlineLevel="0" max="7" min="7" style="1" width="25.02"/>
    <col collapsed="false" customWidth="true" hidden="false" outlineLevel="0" max="8" min="8" style="1" width="10.2"/>
    <col collapsed="false" customWidth="true" hidden="false" outlineLevel="0" max="9" min="9" style="3" width="4.09"/>
    <col collapsed="false" customWidth="true" hidden="false" outlineLevel="0" max="10" min="10" style="3" width="2.04"/>
    <col collapsed="false" customWidth="true" hidden="false" outlineLevel="0" max="11" min="11" style="1" width="21"/>
    <col collapsed="false" customWidth="true" hidden="false" outlineLevel="0" max="12" min="12" style="1" width="16.43"/>
    <col collapsed="false" customWidth="true" hidden="false" outlineLevel="0" max="13" min="13" style="1" width="12.67"/>
    <col collapsed="false" customWidth="true" hidden="false" outlineLevel="0" max="15" min="14" style="4" width="7.66"/>
    <col collapsed="false" customWidth="true" hidden="false" outlineLevel="0" max="16" min="16" style="1" width="1.53"/>
    <col collapsed="false" customWidth="true" hidden="false" outlineLevel="0" max="17" min="17" style="1" width="3.63"/>
    <col collapsed="false" customWidth="true" hidden="false" outlineLevel="0" max="18" min="18" style="1" width="3.24"/>
    <col collapsed="false" customWidth="true" hidden="true" outlineLevel="0" max="19" min="19" style="1" width="8.41"/>
    <col collapsed="false" customWidth="true" hidden="true" outlineLevel="0" max="20" min="20" style="1" width="5.07"/>
    <col collapsed="false" customWidth="true" hidden="false" outlineLevel="0" max="21" min="21" style="5" width="5.45"/>
    <col collapsed="false" customWidth="true" hidden="false" outlineLevel="0" max="22" min="22" style="1" width="2.59"/>
    <col collapsed="false" customWidth="true" hidden="false" outlineLevel="0" max="23" min="23" style="6" width="11.68"/>
    <col collapsed="false" customWidth="true" hidden="false" outlineLevel="0" max="24" min="24" style="7" width="2.07"/>
    <col collapsed="false" customWidth="true" hidden="false" outlineLevel="0" max="25" min="25" style="8" width="8.01"/>
    <col collapsed="false" customWidth="true" hidden="false" outlineLevel="0" max="26" min="26" style="9" width="2.08"/>
    <col collapsed="false" customWidth="true" hidden="false" outlineLevel="0" max="27" min="27" style="1" width="3.24"/>
    <col collapsed="false" customWidth="true" hidden="false" outlineLevel="0" max="28" min="28" style="1" width="35.12"/>
    <col collapsed="false" customWidth="true" hidden="false" outlineLevel="0" max="29" min="29" style="1" width="3.24"/>
    <col collapsed="false" customWidth="true" hidden="false" outlineLevel="0" max="30" min="30" style="1" width="9.14"/>
  </cols>
  <sheetData>
    <row r="1" customFormat="false" ht="12.8" hidden="false" customHeight="false" outlineLevel="0" collapsed="false">
      <c r="B1" s="3"/>
      <c r="R1" s="10"/>
      <c r="S1" s="10"/>
      <c r="T1" s="10"/>
      <c r="U1" s="11"/>
      <c r="V1" s="10"/>
      <c r="W1" s="12"/>
      <c r="X1" s="13"/>
      <c r="Y1" s="14"/>
      <c r="Z1" s="15"/>
      <c r="AA1" s="10"/>
      <c r="AB1" s="10"/>
      <c r="AC1" s="10"/>
    </row>
    <row r="2" customFormat="false" ht="12.8" hidden="false" customHeight="false" outlineLevel="0" collapsed="false">
      <c r="B2" s="3"/>
      <c r="R2" s="10"/>
      <c r="S2" s="10"/>
      <c r="T2" s="10"/>
      <c r="U2" s="16" t="s">
        <v>0</v>
      </c>
      <c r="V2" s="16"/>
      <c r="W2" s="16"/>
      <c r="X2" s="16"/>
      <c r="Y2" s="16"/>
      <c r="Z2" s="16"/>
      <c r="AA2" s="16"/>
      <c r="AB2" s="16"/>
      <c r="AC2" s="10"/>
    </row>
    <row r="3" customFormat="false" ht="12" hidden="false" customHeight="true" outlineLevel="0" collapsed="false">
      <c r="B3" s="3"/>
      <c r="C3" s="17"/>
      <c r="D3" s="18"/>
      <c r="E3" s="19"/>
      <c r="F3" s="19"/>
      <c r="G3" s="20"/>
      <c r="H3" s="20"/>
      <c r="L3" s="21" t="str">
        <f aca="false">HYPERLINK("tel:+7-8412-26-04-95", "+7 (8412) 26-04-95 ")</f>
        <v>+7 (8412) 26-04-95 </v>
      </c>
      <c r="M3" s="22" t="str">
        <f aca="false">HYPERLINK("https://www.emi-penza.ru/", "www.emi-penza.ru      ")</f>
        <v>www.emi-penza.ru      </v>
      </c>
      <c r="N3" s="22"/>
      <c r="O3" s="18"/>
      <c r="R3" s="10"/>
      <c r="S3" s="23"/>
      <c r="T3" s="23"/>
      <c r="U3" s="16"/>
      <c r="V3" s="16"/>
      <c r="W3" s="16"/>
      <c r="X3" s="16"/>
      <c r="Y3" s="16"/>
      <c r="Z3" s="16"/>
      <c r="AA3" s="16"/>
      <c r="AB3" s="16"/>
      <c r="AC3" s="10"/>
    </row>
    <row r="4" customFormat="false" ht="5.95" hidden="false" customHeight="true" outlineLevel="0" collapsed="false">
      <c r="B4" s="3"/>
      <c r="C4" s="17"/>
      <c r="D4" s="18"/>
      <c r="E4" s="24"/>
      <c r="F4" s="24"/>
      <c r="G4" s="20"/>
      <c r="H4" s="20"/>
      <c r="L4" s="25" t="str">
        <f aca="false">HYPERLINK("tel:+7-8412-26-04-96", "26-04-96 ")</f>
        <v>26-04-96 </v>
      </c>
      <c r="M4" s="22" t="str">
        <f aca="false">=HYPERLINK("mailto:emi@emi-penza.ru", "emi@emi-penza.ru      ")</f>
        <v>emi@emi-penza.ru      </v>
      </c>
      <c r="N4" s="22"/>
      <c r="O4" s="18"/>
      <c r="R4" s="10"/>
      <c r="S4" s="23"/>
      <c r="T4" s="23"/>
      <c r="U4" s="16"/>
      <c r="V4" s="16"/>
      <c r="W4" s="16"/>
      <c r="X4" s="16"/>
      <c r="Y4" s="16"/>
      <c r="Z4" s="16"/>
      <c r="AA4" s="16"/>
      <c r="AB4" s="16"/>
      <c r="AC4" s="10"/>
    </row>
    <row r="5" customFormat="false" ht="5.95" hidden="false" customHeight="true" outlineLevel="0" collapsed="false">
      <c r="B5" s="3"/>
      <c r="C5" s="26"/>
      <c r="D5" s="18"/>
      <c r="E5" s="27"/>
      <c r="F5" s="27"/>
      <c r="G5" s="28"/>
      <c r="H5" s="28"/>
      <c r="L5" s="25"/>
      <c r="M5" s="22"/>
      <c r="N5" s="22"/>
      <c r="O5" s="18"/>
      <c r="R5" s="10"/>
      <c r="S5" s="10"/>
      <c r="T5" s="10"/>
      <c r="U5" s="29" t="s">
        <v>1</v>
      </c>
      <c r="V5" s="29"/>
      <c r="W5" s="29"/>
      <c r="X5" s="29"/>
      <c r="Y5" s="29"/>
      <c r="Z5" s="29"/>
      <c r="AA5" s="29"/>
      <c r="AB5" s="29"/>
      <c r="AC5" s="10"/>
    </row>
    <row r="6" customFormat="false" ht="12.95" hidden="false" customHeight="true" outlineLevel="0" collapsed="false">
      <c r="B6" s="3"/>
      <c r="C6" s="30"/>
      <c r="D6" s="28"/>
      <c r="E6" s="28"/>
      <c r="F6" s="28"/>
      <c r="G6" s="28"/>
      <c r="H6" s="28"/>
      <c r="L6" s="21" t="str">
        <f aca="false">HYPERLINK("tel:+7-8412-94-21-65", "94-21-65 ")</f>
        <v>94-21-65 </v>
      </c>
      <c r="M6" s="22" t="str">
        <f aca="false">HYPERLINK("tel:+7-8412-94-13-40", "т.-факс: 94-13-40      ")</f>
        <v>т.-факс: 94-13-40      </v>
      </c>
      <c r="N6" s="22"/>
      <c r="O6" s="1"/>
      <c r="R6" s="10"/>
      <c r="S6" s="10"/>
      <c r="T6" s="10"/>
      <c r="U6" s="29"/>
      <c r="V6" s="29"/>
      <c r="W6" s="29"/>
      <c r="X6" s="29"/>
      <c r="Y6" s="29"/>
      <c r="Z6" s="29"/>
      <c r="AA6" s="29"/>
      <c r="AB6" s="29"/>
      <c r="AC6" s="10"/>
    </row>
    <row r="7" customFormat="false" ht="12.95" hidden="false" customHeight="true" outlineLevel="0" collapsed="false">
      <c r="B7" s="3"/>
      <c r="C7" s="26"/>
      <c r="D7" s="27"/>
      <c r="E7" s="27"/>
      <c r="F7" s="27"/>
      <c r="G7" s="31"/>
      <c r="H7" s="31"/>
      <c r="L7" s="32"/>
      <c r="O7" s="1"/>
      <c r="R7" s="10"/>
      <c r="S7" s="10"/>
      <c r="T7" s="10"/>
      <c r="U7" s="29"/>
      <c r="V7" s="29"/>
      <c r="W7" s="29"/>
      <c r="X7" s="29"/>
      <c r="Y7" s="29"/>
      <c r="Z7" s="29"/>
      <c r="AA7" s="29"/>
      <c r="AB7" s="29"/>
      <c r="AC7" s="10"/>
    </row>
    <row r="8" customFormat="false" ht="12.95" hidden="false" customHeight="true" outlineLevel="0" collapsed="false">
      <c r="B8" s="3"/>
      <c r="C8" s="26"/>
      <c r="I8" s="1"/>
      <c r="J8" s="1"/>
      <c r="O8" s="1"/>
      <c r="R8" s="10"/>
      <c r="S8" s="10"/>
      <c r="T8" s="10"/>
      <c r="U8" s="29"/>
      <c r="V8" s="29"/>
      <c r="W8" s="29"/>
      <c r="X8" s="29"/>
      <c r="Y8" s="29"/>
      <c r="Z8" s="29"/>
      <c r="AA8" s="29"/>
      <c r="AB8" s="29"/>
      <c r="AC8" s="10"/>
    </row>
    <row r="9" customFormat="false" ht="12.95" hidden="false" customHeight="true" outlineLevel="0" collapsed="false">
      <c r="B9" s="3"/>
      <c r="C9" s="33" t="s">
        <v>2</v>
      </c>
      <c r="D9" s="33"/>
      <c r="E9" s="33"/>
      <c r="F9" s="33"/>
      <c r="G9" s="33"/>
      <c r="H9" s="33"/>
      <c r="I9" s="33"/>
      <c r="J9" s="33"/>
      <c r="K9" s="33"/>
      <c r="O9" s="1"/>
      <c r="R9" s="10"/>
      <c r="S9" s="10"/>
      <c r="T9" s="10"/>
      <c r="U9" s="34" t="s">
        <v>3</v>
      </c>
      <c r="V9" s="34"/>
      <c r="W9" s="34"/>
      <c r="X9" s="34"/>
      <c r="Y9" s="34"/>
      <c r="Z9" s="34"/>
      <c r="AA9" s="34"/>
      <c r="AB9" s="34"/>
      <c r="AC9" s="10"/>
    </row>
    <row r="10" customFormat="false" ht="2.15" hidden="false" customHeight="true" outlineLevel="0" collapsed="false">
      <c r="B10" s="3"/>
      <c r="C10" s="33"/>
      <c r="D10" s="33"/>
      <c r="E10" s="33"/>
      <c r="F10" s="33"/>
      <c r="G10" s="33"/>
      <c r="H10" s="33"/>
      <c r="I10" s="33"/>
      <c r="J10" s="33"/>
      <c r="K10" s="33"/>
      <c r="O10" s="18"/>
      <c r="R10" s="10"/>
      <c r="S10" s="10"/>
      <c r="T10" s="10"/>
      <c r="U10" s="35"/>
      <c r="V10" s="36"/>
      <c r="W10" s="36"/>
      <c r="X10" s="36"/>
      <c r="Y10" s="36"/>
      <c r="Z10" s="36"/>
      <c r="AA10" s="36"/>
      <c r="AB10" s="36"/>
      <c r="AC10" s="10"/>
    </row>
    <row r="11" customFormat="false" ht="8.5" hidden="false" customHeight="true" outlineLevel="0" collapsed="false">
      <c r="B11" s="3"/>
      <c r="C11" s="33"/>
      <c r="D11" s="33"/>
      <c r="E11" s="33"/>
      <c r="F11" s="33"/>
      <c r="G11" s="33"/>
      <c r="H11" s="33"/>
      <c r="I11" s="33"/>
      <c r="J11" s="33"/>
      <c r="K11" s="33"/>
      <c r="R11" s="10"/>
      <c r="S11" s="10"/>
      <c r="T11" s="10"/>
      <c r="U11" s="11"/>
      <c r="V11" s="10"/>
      <c r="W11" s="12"/>
      <c r="X11" s="13"/>
      <c r="Y11" s="14"/>
      <c r="Z11" s="15"/>
      <c r="AA11" s="10"/>
      <c r="AB11" s="10"/>
      <c r="AC11" s="10"/>
    </row>
    <row r="12" customFormat="false" ht="11.5" hidden="false" customHeight="true" outlineLevel="0" collapsed="false">
      <c r="B12" s="3"/>
      <c r="C12" s="33"/>
      <c r="D12" s="33"/>
      <c r="E12" s="33"/>
      <c r="F12" s="33"/>
      <c r="G12" s="33"/>
      <c r="H12" s="33"/>
      <c r="I12" s="33"/>
      <c r="J12" s="33"/>
      <c r="K12" s="33"/>
      <c r="O12" s="37" t="s">
        <v>4</v>
      </c>
      <c r="R12" s="10"/>
      <c r="S12" s="38" t="s">
        <v>5</v>
      </c>
      <c r="T12" s="38"/>
      <c r="U12" s="39" t="s">
        <v>6</v>
      </c>
      <c r="V12" s="40"/>
      <c r="W12" s="41"/>
      <c r="X12" s="41" t="s">
        <v>7</v>
      </c>
      <c r="Y12" s="42"/>
      <c r="Z12" s="42" t="s">
        <v>8</v>
      </c>
      <c r="AA12" s="10"/>
      <c r="AB12" s="43" t="s">
        <v>9</v>
      </c>
      <c r="AC12" s="10"/>
    </row>
    <row r="13" customFormat="false" ht="14.15" hidden="false" customHeight="true" outlineLevel="0" collapsed="false">
      <c r="B13" s="3"/>
      <c r="C13" s="44" t="s">
        <v>10</v>
      </c>
      <c r="D13" s="45" t="s">
        <v>11</v>
      </c>
      <c r="E13" s="45"/>
      <c r="F13" s="45"/>
      <c r="G13" s="45" t="s">
        <v>12</v>
      </c>
      <c r="I13" s="1"/>
      <c r="J13" s="1"/>
      <c r="K13" s="45" t="s">
        <v>13</v>
      </c>
      <c r="N13" s="37" t="s">
        <v>14</v>
      </c>
      <c r="O13" s="37" t="s">
        <v>15</v>
      </c>
      <c r="R13" s="10"/>
      <c r="S13" s="38" t="s">
        <v>16</v>
      </c>
      <c r="T13" s="38"/>
      <c r="U13" s="46" t="n">
        <f aca="false">SUM(U18:U488)</f>
        <v>100</v>
      </c>
      <c r="V13" s="40"/>
      <c r="W13" s="41" t="n">
        <f aca="false">SUM(W18:W488)</f>
        <v>9720</v>
      </c>
      <c r="X13" s="47" t="s">
        <v>17</v>
      </c>
      <c r="Y13" s="42" t="n">
        <f aca="false">SUM(Y18:Y488)</f>
        <v>3.3</v>
      </c>
      <c r="Z13" s="40" t="s">
        <v>18</v>
      </c>
      <c r="AA13" s="10"/>
      <c r="AB13" s="43"/>
      <c r="AC13" s="23"/>
    </row>
    <row r="14" customFormat="false" ht="14.15" hidden="false" customHeight="true" outlineLevel="0" collapsed="false">
      <c r="B14" s="3"/>
      <c r="O14" s="48"/>
      <c r="R14" s="10"/>
      <c r="S14" s="10"/>
      <c r="T14" s="10"/>
      <c r="U14" s="11"/>
      <c r="V14" s="49" t="str">
        <f aca="false">"НДС " &amp;TEXT(W13/1.18*0.18,"# ##0,00")</f>
        <v>НДС 1 482,71</v>
      </c>
      <c r="W14" s="49"/>
      <c r="X14" s="50" t="s">
        <v>17</v>
      </c>
      <c r="Y14" s="14"/>
      <c r="Z14" s="15"/>
      <c r="AA14" s="10"/>
      <c r="AB14" s="43"/>
      <c r="AC14" s="23"/>
    </row>
    <row r="15" customFormat="false" ht="22.7" hidden="false" customHeight="true" outlineLevel="0" collapsed="false">
      <c r="B15" s="3"/>
      <c r="C15" s="51" t="s">
        <v>19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R15" s="10"/>
      <c r="S15" s="54"/>
      <c r="T15" s="54"/>
      <c r="U15" s="55"/>
      <c r="V15" s="49"/>
      <c r="W15" s="49"/>
      <c r="X15" s="50"/>
      <c r="Y15" s="56"/>
      <c r="Z15" s="57"/>
      <c r="AA15" s="10"/>
      <c r="AB15" s="43"/>
      <c r="AC15" s="23"/>
    </row>
    <row r="16" customFormat="false" ht="2.85" hidden="false" customHeight="true" outlineLevel="0" collapsed="false">
      <c r="B16" s="3"/>
      <c r="R16" s="10"/>
      <c r="S16" s="10"/>
      <c r="T16" s="10"/>
      <c r="U16" s="11"/>
      <c r="V16" s="10"/>
      <c r="W16" s="58"/>
      <c r="X16" s="10"/>
      <c r="Y16" s="58"/>
      <c r="Z16" s="15"/>
      <c r="AA16" s="10"/>
      <c r="AB16" s="43"/>
      <c r="AC16" s="23"/>
    </row>
    <row r="17" customFormat="false" ht="13.3" hidden="false" customHeight="true" outlineLevel="0" collapsed="false">
      <c r="B17" s="59" t="s">
        <v>20</v>
      </c>
      <c r="C17" s="60" t="s">
        <v>21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3"/>
      <c r="AC17" s="23"/>
    </row>
    <row r="18" customFormat="false" ht="18.15" hidden="false" customHeight="true" outlineLevel="0" collapsed="false">
      <c r="B18" s="61"/>
      <c r="C18" s="62" t="str">
        <f aca="false">HYPERLINK("https://www.emi-penza.ru/p/6002.3829", "6002.3829")</f>
        <v>6002.3829</v>
      </c>
      <c r="D18" s="63" t="s">
        <v>22</v>
      </c>
      <c r="E18" s="63"/>
      <c r="F18" s="63"/>
      <c r="G18" s="63" t="s">
        <v>23</v>
      </c>
      <c r="H18" s="63"/>
      <c r="I18" s="64"/>
      <c r="J18" s="64"/>
      <c r="K18" s="63" t="s">
        <v>24</v>
      </c>
      <c r="L18" s="63"/>
      <c r="M18" s="63"/>
      <c r="N18" s="65" t="n">
        <v>81</v>
      </c>
      <c r="O18" s="65" t="n">
        <f aca="false">ROUND(N18*1.2, 2)</f>
        <v>97.2</v>
      </c>
      <c r="R18" s="10"/>
      <c r="S18" s="66" t="n">
        <v>33</v>
      </c>
      <c r="T18" s="66"/>
      <c r="U18" s="67" t="n">
        <v>100</v>
      </c>
      <c r="V18" s="66"/>
      <c r="W18" s="68" t="n">
        <f aca="false">IF(OR(U18=0,N18=""), "", O18*ROUND(U18,0))</f>
        <v>9720</v>
      </c>
      <c r="X18" s="69" t="str">
        <f aca="false">IF(AND(N18="", U18&lt;&gt;""),"?",IF(AND(W18&lt;&gt;0,W18&lt;&gt;""), "р.", ""))</f>
        <v>р.</v>
      </c>
      <c r="Y18" s="70" t="n">
        <f aca="false">IF(AND(S18&gt;0,U18&gt;0), S18*ROUND(U18,0) / 1000, "")</f>
        <v>3.3</v>
      </c>
      <c r="Z18" s="71" t="str">
        <f aca="false">IF(AND(Y18&lt;&gt;0,Y18&lt;&gt;""), "кг", "")</f>
        <v>кг</v>
      </c>
      <c r="AA18" s="10"/>
      <c r="AB18" s="43"/>
      <c r="AC18" s="23"/>
    </row>
    <row r="19" customFormat="false" ht="18.15" hidden="false" customHeight="true" outlineLevel="0" collapsed="false">
      <c r="B19" s="61"/>
      <c r="C19" s="62" t="str">
        <f aca="false">HYPERLINK("https://www.emi-penza.ru/p/6012.3829", "6012.3829")</f>
        <v>6012.3829</v>
      </c>
      <c r="D19" s="63" t="s">
        <v>25</v>
      </c>
      <c r="E19" s="63"/>
      <c r="F19" s="63"/>
      <c r="G19" s="63" t="s">
        <v>23</v>
      </c>
      <c r="H19" s="63"/>
      <c r="I19" s="64"/>
      <c r="J19" s="64"/>
      <c r="K19" s="63" t="s">
        <v>26</v>
      </c>
      <c r="L19" s="63"/>
      <c r="M19" s="63"/>
      <c r="N19" s="65" t="n">
        <v>79</v>
      </c>
      <c r="O19" s="65" t="n">
        <f aca="false">ROUND(N19*1.2, 2)</f>
        <v>94.8</v>
      </c>
      <c r="R19" s="10"/>
      <c r="S19" s="66" t="n">
        <v>31</v>
      </c>
      <c r="T19" s="66"/>
      <c r="U19" s="67" t="n">
        <v>0</v>
      </c>
      <c r="V19" s="66"/>
      <c r="W19" s="72" t="str">
        <f aca="false">IF(OR(U19=0,N19=""), "", O19*ROUND(U19,0))</f>
        <v/>
      </c>
      <c r="X19" s="69" t="str">
        <f aca="false">IF(AND(N19="", U19&lt;&gt;""),"?",IF(AND(W19&lt;&gt;0,W19&lt;&gt;""), "р.", ""))</f>
        <v/>
      </c>
      <c r="Y19" s="70" t="str">
        <f aca="false">IF(AND(S19&gt;0,U19&gt;0), S19*ROUND(U19,0) / 1000, "")</f>
        <v/>
      </c>
      <c r="Z19" s="71" t="str">
        <f aca="false">IF(AND(Y19&lt;&gt;0,Y19&lt;&gt;""), "кг", "")</f>
        <v/>
      </c>
      <c r="AA19" s="10"/>
      <c r="AB19" s="43"/>
      <c r="AC19" s="23"/>
    </row>
    <row r="20" customFormat="false" ht="14.45" hidden="false" customHeight="true" outlineLevel="0" collapsed="false">
      <c r="B20" s="73"/>
      <c r="C20" s="74" t="str">
        <f aca="false">HYPERLINK("https://www.emi-penza.ru/p/6012.3829-01", "6012.3829-01")</f>
        <v>6012.3829-01</v>
      </c>
      <c r="D20" s="75" t="s">
        <v>27</v>
      </c>
      <c r="E20" s="75"/>
      <c r="F20" s="75"/>
      <c r="G20" s="75" t="s">
        <v>23</v>
      </c>
      <c r="H20" s="75"/>
      <c r="I20" s="76"/>
      <c r="J20" s="76"/>
      <c r="K20" s="75" t="s">
        <v>28</v>
      </c>
      <c r="L20" s="75"/>
      <c r="M20" s="75"/>
      <c r="N20" s="77" t="n">
        <v>175</v>
      </c>
      <c r="O20" s="77" t="n">
        <f aca="false">ROUND(N20*1.2, 2)</f>
        <v>210</v>
      </c>
      <c r="R20" s="10"/>
      <c r="S20" s="78" t="n">
        <v>40</v>
      </c>
      <c r="T20" s="78"/>
      <c r="U20" s="79" t="n">
        <v>0</v>
      </c>
      <c r="V20" s="78"/>
      <c r="W20" s="80" t="str">
        <f aca="false">IF(OR(U20=0,N20=""), "", O20*ROUND(U20,0))</f>
        <v/>
      </c>
      <c r="X20" s="81" t="str">
        <f aca="false">IF(AND(N20="", U20&lt;&gt;""),"?",IF(AND(W20&lt;&gt;0,W20&lt;&gt;""), "р.", ""))</f>
        <v/>
      </c>
      <c r="Y20" s="82" t="str">
        <f aca="false">IF(AND(S20&gt;0,U20&gt;0), S20*ROUND(U20,0) / 1000, "")</f>
        <v/>
      </c>
      <c r="Z20" s="83" t="str">
        <f aca="false">IF(AND(Y20&lt;&gt;0,Y20&lt;&gt;""), "кг", "")</f>
        <v/>
      </c>
      <c r="AA20" s="10"/>
      <c r="AB20" s="43"/>
      <c r="AC20" s="23"/>
    </row>
    <row r="21" customFormat="false" ht="14.45" hidden="false" customHeight="true" outlineLevel="0" collapsed="false">
      <c r="B21" s="84"/>
      <c r="C21" s="85"/>
      <c r="D21" s="86" t="s">
        <v>29</v>
      </c>
      <c r="E21" s="86"/>
      <c r="F21" s="86"/>
      <c r="G21" s="86" t="s">
        <v>30</v>
      </c>
      <c r="H21" s="86"/>
      <c r="I21" s="87"/>
      <c r="J21" s="87"/>
      <c r="K21" s="86"/>
      <c r="L21" s="86"/>
      <c r="M21" s="86"/>
      <c r="N21" s="88"/>
      <c r="O21" s="88"/>
      <c r="R21" s="10"/>
      <c r="S21" s="89"/>
      <c r="T21" s="89"/>
      <c r="U21" s="90"/>
      <c r="V21" s="89"/>
      <c r="W21" s="91" t="str">
        <f aca="false">IF(OR(U21=0,N21=""), "", O21*ROUND(U21,0))</f>
        <v/>
      </c>
      <c r="X21" s="92" t="str">
        <f aca="false">IF(AND(N21="", U21&lt;&gt;""),"?",IF(AND(W21&lt;&gt;0,W21&lt;&gt;""), "р.", ""))</f>
        <v/>
      </c>
      <c r="Y21" s="93" t="str">
        <f aca="false">IF(AND(S21&gt;0,U21&gt;0), S21*ROUND(U21,0) / 1000, "")</f>
        <v/>
      </c>
      <c r="Z21" s="94" t="str">
        <f aca="false">IF(AND(Y21&lt;&gt;0,Y21&lt;&gt;""), "кг", "")</f>
        <v/>
      </c>
      <c r="AA21" s="10"/>
      <c r="AB21" s="43"/>
      <c r="AC21" s="23"/>
    </row>
    <row r="22" customFormat="false" ht="18.15" hidden="false" customHeight="true" outlineLevel="0" collapsed="false">
      <c r="B22" s="61"/>
      <c r="C22" s="62" t="str">
        <f aca="false">HYPERLINK("https://www.emi-penza.ru/p/6012.3829-03", "6012.3829-03")</f>
        <v>6012.3829-03</v>
      </c>
      <c r="D22" s="63" t="s">
        <v>31</v>
      </c>
      <c r="E22" s="63"/>
      <c r="F22" s="63"/>
      <c r="G22" s="63" t="s">
        <v>23</v>
      </c>
      <c r="H22" s="63"/>
      <c r="I22" s="64"/>
      <c r="J22" s="64"/>
      <c r="K22" s="63" t="s">
        <v>32</v>
      </c>
      <c r="L22" s="63"/>
      <c r="M22" s="63"/>
      <c r="N22" s="65" t="n">
        <v>85</v>
      </c>
      <c r="O22" s="65" t="n">
        <f aca="false">ROUND(N22*1.2, 2)</f>
        <v>102</v>
      </c>
      <c r="R22" s="10"/>
      <c r="S22" s="66" t="n">
        <v>33</v>
      </c>
      <c r="T22" s="66"/>
      <c r="U22" s="67" t="n">
        <v>0</v>
      </c>
      <c r="V22" s="66"/>
      <c r="W22" s="72" t="str">
        <f aca="false">IF(OR(U22=0,N22=""), "", O22*ROUND(U22,0))</f>
        <v/>
      </c>
      <c r="X22" s="69" t="str">
        <f aca="false">IF(AND(N22="", U22&lt;&gt;""),"?",IF(AND(W22&lt;&gt;0,W22&lt;&gt;""), "р.", ""))</f>
        <v/>
      </c>
      <c r="Y22" s="70" t="str">
        <f aca="false">IF(AND(S22&gt;0,U22&gt;0), S22*ROUND(U22,0) / 1000, "")</f>
        <v/>
      </c>
      <c r="Z22" s="71" t="str">
        <f aca="false">IF(AND(Y22&lt;&gt;0,Y22&lt;&gt;""), "кг", "")</f>
        <v/>
      </c>
      <c r="AA22" s="10"/>
    </row>
    <row r="23" customFormat="false" ht="18.15" hidden="false" customHeight="true" outlineLevel="0" collapsed="false">
      <c r="B23" s="61"/>
      <c r="C23" s="62" t="str">
        <f aca="false">HYPERLINK("https://www.emi-penza.ru/p/6012.3829-04", "6012.3829-04")</f>
        <v>6012.3829-04</v>
      </c>
      <c r="D23" s="63" t="s">
        <v>33</v>
      </c>
      <c r="E23" s="63"/>
      <c r="F23" s="63"/>
      <c r="G23" s="63" t="s">
        <v>23</v>
      </c>
      <c r="H23" s="63"/>
      <c r="I23" s="64"/>
      <c r="J23" s="64"/>
      <c r="K23" s="63" t="s">
        <v>34</v>
      </c>
      <c r="L23" s="63"/>
      <c r="M23" s="63"/>
      <c r="N23" s="65" t="n">
        <v>89</v>
      </c>
      <c r="O23" s="65" t="n">
        <f aca="false">ROUND(N23*1.2, 2)</f>
        <v>106.8</v>
      </c>
      <c r="R23" s="10"/>
      <c r="S23" s="66" t="n">
        <v>33</v>
      </c>
      <c r="T23" s="66"/>
      <c r="U23" s="67" t="n">
        <v>0</v>
      </c>
      <c r="V23" s="66"/>
      <c r="W23" s="72" t="str">
        <f aca="false">IF(OR(U23=0,N23=""), "", O23*ROUND(U23,0))</f>
        <v/>
      </c>
      <c r="X23" s="69" t="str">
        <f aca="false">IF(AND(N23="", U23&lt;&gt;""),"?",IF(AND(W23&lt;&gt;0,W23&lt;&gt;""), "р.", ""))</f>
        <v/>
      </c>
      <c r="Y23" s="70" t="str">
        <f aca="false">IF(AND(S23&gt;0,U23&gt;0), S23*ROUND(U23,0) / 1000, "")</f>
        <v/>
      </c>
      <c r="Z23" s="71" t="str">
        <f aca="false">IF(AND(Y23&lt;&gt;0,Y23&lt;&gt;""), "кг", "")</f>
        <v/>
      </c>
      <c r="AA23" s="10"/>
    </row>
    <row r="24" customFormat="false" ht="18.15" hidden="false" customHeight="true" outlineLevel="0" collapsed="false">
      <c r="B24" s="61"/>
      <c r="C24" s="62" t="str">
        <f aca="false">HYPERLINK("https://www.emi-penza.ru/p/6012.3829-05", "6012.3829-05")</f>
        <v>6012.3829-05</v>
      </c>
      <c r="D24" s="63" t="s">
        <v>35</v>
      </c>
      <c r="E24" s="63"/>
      <c r="F24" s="63"/>
      <c r="G24" s="63" t="s">
        <v>23</v>
      </c>
      <c r="H24" s="63"/>
      <c r="I24" s="64"/>
      <c r="J24" s="64"/>
      <c r="K24" s="63"/>
      <c r="L24" s="63"/>
      <c r="M24" s="63"/>
      <c r="N24" s="65" t="n">
        <v>92</v>
      </c>
      <c r="O24" s="65" t="n">
        <f aca="false">ROUND(N24*1.2, 2)</f>
        <v>110.4</v>
      </c>
      <c r="R24" s="10"/>
      <c r="S24" s="66" t="n">
        <v>33</v>
      </c>
      <c r="T24" s="66"/>
      <c r="U24" s="67" t="n">
        <v>0</v>
      </c>
      <c r="V24" s="66"/>
      <c r="W24" s="72" t="str">
        <f aca="false">IF(OR(U24=0,N24=""), "", O24*ROUND(U24,0))</f>
        <v/>
      </c>
      <c r="X24" s="69" t="str">
        <f aca="false">IF(AND(N24="", U24&lt;&gt;""),"?",IF(AND(W24&lt;&gt;0,W24&lt;&gt;""), "р.", ""))</f>
        <v/>
      </c>
      <c r="Y24" s="70" t="str">
        <f aca="false">IF(AND(S24&gt;0,U24&gt;0), S24*ROUND(U24,0) / 1000, "")</f>
        <v/>
      </c>
      <c r="Z24" s="71" t="str">
        <f aca="false">IF(AND(Y24&lt;&gt;0,Y24&lt;&gt;""), "кг", "")</f>
        <v/>
      </c>
      <c r="AA24" s="10"/>
    </row>
    <row r="25" customFormat="false" ht="18.15" hidden="false" customHeight="true" outlineLevel="0" collapsed="false">
      <c r="B25" s="61"/>
      <c r="C25" s="62" t="str">
        <f aca="false">HYPERLINK("https://www.emi-penza.ru/p/6022.3829", "6022.3829")</f>
        <v>6022.3829</v>
      </c>
      <c r="D25" s="63" t="s">
        <v>36</v>
      </c>
      <c r="E25" s="63"/>
      <c r="F25" s="63"/>
      <c r="G25" s="63" t="s">
        <v>23</v>
      </c>
      <c r="H25" s="63"/>
      <c r="I25" s="64"/>
      <c r="J25" s="64"/>
      <c r="K25" s="63" t="s">
        <v>37</v>
      </c>
      <c r="L25" s="63"/>
      <c r="M25" s="63"/>
      <c r="N25" s="65" t="n">
        <v>87</v>
      </c>
      <c r="O25" s="65" t="n">
        <f aca="false">ROUND(N25*1.2, 2)</f>
        <v>104.4</v>
      </c>
      <c r="R25" s="10"/>
      <c r="S25" s="66" t="n">
        <v>28</v>
      </c>
      <c r="T25" s="66"/>
      <c r="U25" s="67" t="n">
        <v>0</v>
      </c>
      <c r="V25" s="66"/>
      <c r="W25" s="72" t="str">
        <f aca="false">IF(OR(U25=0,N25=""), "", O25*ROUND(U25,0))</f>
        <v/>
      </c>
      <c r="X25" s="69" t="str">
        <f aca="false">IF(AND(N25="", U25&lt;&gt;""),"?",IF(AND(W25&lt;&gt;0,W25&lt;&gt;""), "р.", ""))</f>
        <v/>
      </c>
      <c r="Y25" s="70" t="str">
        <f aca="false">IF(AND(S25&gt;0,U25&gt;0), S25*ROUND(U25,0) / 1000, "")</f>
        <v/>
      </c>
      <c r="Z25" s="71" t="str">
        <f aca="false">IF(AND(Y25&lt;&gt;0,Y25&lt;&gt;""), "кг", "")</f>
        <v/>
      </c>
      <c r="AA25" s="10"/>
    </row>
    <row r="26" customFormat="false" ht="18.15" hidden="false" customHeight="true" outlineLevel="0" collapsed="false">
      <c r="B26" s="61"/>
      <c r="C26" s="62" t="str">
        <f aca="false">HYPERLINK("https://www.emi-penza.ru/p/6022.3829-01", "6022.3829-01")</f>
        <v>6022.3829-01</v>
      </c>
      <c r="D26" s="63" t="s">
        <v>38</v>
      </c>
      <c r="E26" s="63"/>
      <c r="F26" s="63"/>
      <c r="G26" s="63" t="s">
        <v>23</v>
      </c>
      <c r="H26" s="63"/>
      <c r="I26" s="64"/>
      <c r="J26" s="64"/>
      <c r="K26" s="63" t="s">
        <v>39</v>
      </c>
      <c r="L26" s="63"/>
      <c r="M26" s="63"/>
      <c r="N26" s="65" t="n">
        <v>95</v>
      </c>
      <c r="O26" s="65" t="n">
        <f aca="false">ROUND(N26*1.2, 2)</f>
        <v>114</v>
      </c>
      <c r="R26" s="10"/>
      <c r="S26" s="66" t="n">
        <v>32</v>
      </c>
      <c r="T26" s="66"/>
      <c r="U26" s="67" t="n">
        <v>0</v>
      </c>
      <c r="V26" s="66"/>
      <c r="W26" s="72" t="str">
        <f aca="false">IF(OR(U26=0,N26=""), "", O26*ROUND(U26,0))</f>
        <v/>
      </c>
      <c r="X26" s="69" t="str">
        <f aca="false">IF(AND(N26="", U26&lt;&gt;""),"?",IF(AND(W26&lt;&gt;0,W26&lt;&gt;""), "р.", ""))</f>
        <v/>
      </c>
      <c r="Y26" s="70" t="str">
        <f aca="false">IF(AND(S26&gt;0,U26&gt;0), S26*ROUND(U26,0) / 1000, "")</f>
        <v/>
      </c>
      <c r="Z26" s="71" t="str">
        <f aca="false">IF(AND(Y26&lt;&gt;0,Y26&lt;&gt;""), "кг", "")</f>
        <v/>
      </c>
      <c r="AA26" s="10"/>
    </row>
    <row r="27" customFormat="false" ht="13.6" hidden="false" customHeight="true" outlineLevel="0" collapsed="false">
      <c r="B27" s="73"/>
      <c r="C27" s="74" t="str">
        <f aca="false">HYPERLINK("https://www.emi-penza.ru/p/6022.3829-01-М", "6022.3829-01-М")</f>
        <v>6022.3829-01-М</v>
      </c>
      <c r="D27" s="75" t="s">
        <v>40</v>
      </c>
      <c r="E27" s="75"/>
      <c r="F27" s="75"/>
      <c r="G27" s="75" t="s">
        <v>23</v>
      </c>
      <c r="H27" s="75"/>
      <c r="I27" s="76"/>
      <c r="J27" s="76"/>
      <c r="K27" s="75" t="s">
        <v>39</v>
      </c>
      <c r="L27" s="75"/>
      <c r="M27" s="95"/>
      <c r="N27" s="77" t="n">
        <v>99</v>
      </c>
      <c r="O27" s="77" t="n">
        <f aca="false">ROUND(N27*1.2, 2)</f>
        <v>118.8</v>
      </c>
      <c r="R27" s="10"/>
      <c r="S27" s="78" t="n">
        <v>32</v>
      </c>
      <c r="T27" s="78"/>
      <c r="U27" s="79" t="n">
        <v>0</v>
      </c>
      <c r="V27" s="78"/>
      <c r="W27" s="80" t="str">
        <f aca="false">IF(OR(U27=0,N27=""), "", O27*ROUND(U27,0))</f>
        <v/>
      </c>
      <c r="X27" s="81" t="str">
        <f aca="false">IF(AND(N27="", U27&lt;&gt;""),"?",IF(AND(W27&lt;&gt;0,W27&lt;&gt;""), "р.", ""))</f>
        <v/>
      </c>
      <c r="Y27" s="82" t="str">
        <f aca="false">IF(AND(S27&gt;0,U27&gt;0), S27*ROUND(U27,0) / 1000, "")</f>
        <v/>
      </c>
      <c r="Z27" s="96" t="str">
        <f aca="false">IF(AND(Y27&lt;&gt;0,Y27&lt;&gt;""), "кг", "")</f>
        <v/>
      </c>
      <c r="AA27" s="10"/>
    </row>
    <row r="28" customFormat="false" ht="15" hidden="false" customHeight="true" outlineLevel="0" collapsed="false">
      <c r="B28" s="84"/>
      <c r="C28" s="85"/>
      <c r="D28" s="86"/>
      <c r="E28" s="86"/>
      <c r="F28" s="86"/>
      <c r="G28" s="86" t="s">
        <v>41</v>
      </c>
      <c r="H28" s="86"/>
      <c r="I28" s="87"/>
      <c r="J28" s="87"/>
      <c r="K28" s="86"/>
      <c r="L28" s="86"/>
      <c r="M28" s="97"/>
      <c r="N28" s="88"/>
      <c r="O28" s="88"/>
      <c r="R28" s="10"/>
      <c r="S28" s="89"/>
      <c r="T28" s="89"/>
      <c r="U28" s="90"/>
      <c r="V28" s="89"/>
      <c r="W28" s="91" t="str">
        <f aca="false">IF(OR(U28=0,N28=""), "", O28*ROUND(U28,0))</f>
        <v/>
      </c>
      <c r="X28" s="92" t="str">
        <f aca="false">IF(AND(N28="", U28&lt;&gt;""),"?",IF(AND(W28&lt;&gt;0,W28&lt;&gt;""), "р.", ""))</f>
        <v/>
      </c>
      <c r="Y28" s="93" t="str">
        <f aca="false">IF(AND(S28&gt;0,U28&gt;0), S28*ROUND(U28,0) / 1000, "")</f>
        <v/>
      </c>
      <c r="Z28" s="94" t="str">
        <f aca="false">IF(AND(Y28&lt;&gt;0,Y28&lt;&gt;""), "кг", "")</f>
        <v/>
      </c>
      <c r="AA28" s="10"/>
    </row>
    <row r="29" customFormat="false" ht="13.6" hidden="false" customHeight="true" outlineLevel="0" collapsed="false">
      <c r="B29" s="73"/>
      <c r="C29" s="74" t="str">
        <f aca="false">HYPERLINK("https://www.emi-penza.ru/p/6022.3829-02", "6022.3829-02")</f>
        <v>6022.3829-02</v>
      </c>
      <c r="D29" s="75" t="s">
        <v>42</v>
      </c>
      <c r="E29" s="75"/>
      <c r="F29" s="75"/>
      <c r="G29" s="75" t="s">
        <v>23</v>
      </c>
      <c r="H29" s="75"/>
      <c r="I29" s="76"/>
      <c r="J29" s="76"/>
      <c r="K29" s="75" t="s">
        <v>43</v>
      </c>
      <c r="L29" s="75"/>
      <c r="M29" s="95"/>
      <c r="N29" s="77" t="n">
        <v>174</v>
      </c>
      <c r="O29" s="77" t="n">
        <f aca="false">ROUND(N29*1.2, 2)</f>
        <v>208.8</v>
      </c>
      <c r="R29" s="10"/>
      <c r="S29" s="78" t="n">
        <v>33</v>
      </c>
      <c r="T29" s="78"/>
      <c r="U29" s="79" t="n">
        <v>0</v>
      </c>
      <c r="V29" s="78"/>
      <c r="W29" s="80" t="str">
        <f aca="false">IF(OR(U29=0,N29=""), "", O29*ROUND(U29,0))</f>
        <v/>
      </c>
      <c r="X29" s="81" t="str">
        <f aca="false">IF(AND(N29="", U29&lt;&gt;""),"?",IF(AND(W29&lt;&gt;0,W29&lt;&gt;""), "р.", ""))</f>
        <v/>
      </c>
      <c r="Y29" s="82" t="str">
        <f aca="false">IF(AND(S29&gt;0,U29&gt;0), S29*ROUND(U29,0) / 1000, "")</f>
        <v/>
      </c>
      <c r="Z29" s="96" t="str">
        <f aca="false">IF(AND(Y29&lt;&gt;0,Y29&lt;&gt;""), "кг", "")</f>
        <v/>
      </c>
      <c r="AA29" s="10"/>
    </row>
    <row r="30" customFormat="false" ht="15" hidden="false" customHeight="true" outlineLevel="0" collapsed="false">
      <c r="B30" s="84"/>
      <c r="C30" s="85"/>
      <c r="D30" s="86" t="s">
        <v>44</v>
      </c>
      <c r="E30" s="86"/>
      <c r="F30" s="86"/>
      <c r="G30" s="86"/>
      <c r="H30" s="86"/>
      <c r="I30" s="87"/>
      <c r="J30" s="87"/>
      <c r="K30" s="86" t="s">
        <v>45</v>
      </c>
      <c r="L30" s="86"/>
      <c r="M30" s="97"/>
      <c r="N30" s="88"/>
      <c r="O30" s="88"/>
      <c r="R30" s="10"/>
      <c r="S30" s="89"/>
      <c r="T30" s="89"/>
      <c r="U30" s="90"/>
      <c r="V30" s="89"/>
      <c r="W30" s="91" t="str">
        <f aca="false">IF(OR(U30=0,N30=""), "", O30*ROUND(U30,0))</f>
        <v/>
      </c>
      <c r="X30" s="92" t="str">
        <f aca="false">IF(AND(N30="", U30&lt;&gt;""),"?",IF(AND(W30&lt;&gt;0,W30&lt;&gt;""), "р.", ""))</f>
        <v/>
      </c>
      <c r="Y30" s="93" t="str">
        <f aca="false">IF(AND(S30&gt;0,U30&gt;0), S30*ROUND(U30,0) / 1000, "")</f>
        <v/>
      </c>
      <c r="Z30" s="94" t="str">
        <f aca="false">IF(AND(Y30&lt;&gt;0,Y30&lt;&gt;""), "кг", "")</f>
        <v/>
      </c>
      <c r="AA30" s="10"/>
    </row>
    <row r="31" customFormat="false" ht="18.15" hidden="false" customHeight="true" outlineLevel="0" collapsed="false">
      <c r="B31" s="61"/>
      <c r="C31" s="62" t="str">
        <f aca="false">HYPERLINK("https://www.emi-penza.ru/p/6022.3829-03", "6022.3829-03")</f>
        <v>6022.3829-03</v>
      </c>
      <c r="D31" s="63"/>
      <c r="E31" s="63"/>
      <c r="F31" s="63"/>
      <c r="G31" s="63" t="s">
        <v>23</v>
      </c>
      <c r="H31" s="63"/>
      <c r="I31" s="64"/>
      <c r="J31" s="64"/>
      <c r="K31" s="63" t="s">
        <v>46</v>
      </c>
      <c r="L31" s="63"/>
      <c r="M31" s="63"/>
      <c r="N31" s="65" t="n">
        <v>91</v>
      </c>
      <c r="O31" s="65" t="n">
        <f aca="false">ROUND(N31*1.2, 2)</f>
        <v>109.2</v>
      </c>
      <c r="R31" s="10"/>
      <c r="S31" s="66" t="n">
        <v>32</v>
      </c>
      <c r="T31" s="66"/>
      <c r="U31" s="67" t="n">
        <v>0</v>
      </c>
      <c r="V31" s="66"/>
      <c r="W31" s="72" t="str">
        <f aca="false">IF(OR(U31=0,N31=""), "", O31*ROUND(U31,0))</f>
        <v/>
      </c>
      <c r="X31" s="69" t="str">
        <f aca="false">IF(AND(N31="", U31&lt;&gt;""),"?",IF(AND(W31&lt;&gt;0,W31&lt;&gt;""), "р.", ""))</f>
        <v/>
      </c>
      <c r="Y31" s="70" t="str">
        <f aca="false">IF(AND(S31&gt;0,U31&gt;0), S31*ROUND(U31,0) / 1000, "")</f>
        <v/>
      </c>
      <c r="Z31" s="71" t="str">
        <f aca="false">IF(AND(Y31&lt;&gt;0,Y31&lt;&gt;""), "кг", "")</f>
        <v/>
      </c>
      <c r="AA31" s="10"/>
    </row>
    <row r="32" customFormat="false" ht="18.15" hidden="false" customHeight="true" outlineLevel="0" collapsed="false">
      <c r="B32" s="61"/>
      <c r="C32" s="62" t="str">
        <f aca="false">HYPERLINK("https://www.emi-penza.ru/p/6032.3829", "6032.3829")</f>
        <v>6032.3829</v>
      </c>
      <c r="D32" s="63" t="s">
        <v>47</v>
      </c>
      <c r="E32" s="63"/>
      <c r="F32" s="63"/>
      <c r="G32" s="63" t="s">
        <v>48</v>
      </c>
      <c r="H32" s="63"/>
      <c r="I32" s="64"/>
      <c r="J32" s="64"/>
      <c r="K32" s="63" t="s">
        <v>28</v>
      </c>
      <c r="L32" s="63"/>
      <c r="M32" s="63"/>
      <c r="N32" s="65" t="n">
        <v>89</v>
      </c>
      <c r="O32" s="65" t="n">
        <f aca="false">ROUND(N32*1.2, 2)</f>
        <v>106.8</v>
      </c>
      <c r="R32" s="10"/>
      <c r="S32" s="66" t="n">
        <v>27</v>
      </c>
      <c r="T32" s="66"/>
      <c r="U32" s="67" t="n">
        <v>0</v>
      </c>
      <c r="V32" s="66"/>
      <c r="W32" s="72" t="str">
        <f aca="false">IF(OR(U32=0,N32=""), "", O32*ROUND(U32,0))</f>
        <v/>
      </c>
      <c r="X32" s="69" t="str">
        <f aca="false">IF(AND(N32="", U32&lt;&gt;""),"?",IF(AND(W32&lt;&gt;0,W32&lt;&gt;""), "р.", ""))</f>
        <v/>
      </c>
      <c r="Y32" s="70" t="str">
        <f aca="false">IF(AND(S32&gt;0,U32&gt;0), S32*ROUND(U32,0) / 1000, "")</f>
        <v/>
      </c>
      <c r="Z32" s="71" t="str">
        <f aca="false">IF(AND(Y32&lt;&gt;0,Y32&lt;&gt;""), "кг", "")</f>
        <v/>
      </c>
      <c r="AA32" s="10"/>
    </row>
    <row r="33" customFormat="false" ht="14.15" hidden="false" customHeight="true" outlineLevel="0" collapsed="false">
      <c r="B33" s="73"/>
      <c r="C33" s="74" t="str">
        <f aca="false">HYPERLINK("https://www.emi-penza.ru/p/6032.3829-01", "6032.3829-01")</f>
        <v>6032.3829-01</v>
      </c>
      <c r="D33" s="75" t="s">
        <v>49</v>
      </c>
      <c r="E33" s="75"/>
      <c r="F33" s="75"/>
      <c r="G33" s="75" t="s">
        <v>48</v>
      </c>
      <c r="H33" s="75"/>
      <c r="I33" s="76"/>
      <c r="J33" s="76"/>
      <c r="K33" s="75" t="s">
        <v>28</v>
      </c>
      <c r="L33" s="75"/>
      <c r="M33" s="75"/>
      <c r="N33" s="77" t="n">
        <v>209</v>
      </c>
      <c r="O33" s="77" t="n">
        <f aca="false">ROUND(N33*1.2, 2)</f>
        <v>250.8</v>
      </c>
      <c r="R33" s="10"/>
      <c r="S33" s="78" t="n">
        <v>47</v>
      </c>
      <c r="T33" s="78"/>
      <c r="U33" s="79" t="n">
        <v>0</v>
      </c>
      <c r="V33" s="78"/>
      <c r="W33" s="80" t="str">
        <f aca="false">IF(OR(U33=0,N33=""), "", O33*ROUND(U33,0))</f>
        <v/>
      </c>
      <c r="X33" s="81" t="str">
        <f aca="false">IF(AND(N33="", U33&lt;&gt;""),"?",IF(AND(W33&lt;&gt;0,W33&lt;&gt;""), "р.", ""))</f>
        <v/>
      </c>
      <c r="Y33" s="82" t="str">
        <f aca="false">IF(AND(S33&gt;0,U33&gt;0), S33*ROUND(U33,0) / 1000, "")</f>
        <v/>
      </c>
      <c r="Z33" s="96" t="str">
        <f aca="false">IF(AND(Y33&lt;&gt;0,Y33&lt;&gt;""), "кг", "")</f>
        <v/>
      </c>
      <c r="AA33" s="10"/>
    </row>
    <row r="34" customFormat="false" ht="15" hidden="false" customHeight="true" outlineLevel="0" collapsed="false">
      <c r="B34" s="84"/>
      <c r="C34" s="85"/>
      <c r="D34" s="86" t="s">
        <v>50</v>
      </c>
      <c r="E34" s="86"/>
      <c r="F34" s="86"/>
      <c r="G34" s="86" t="s">
        <v>30</v>
      </c>
      <c r="H34" s="86"/>
      <c r="I34" s="87"/>
      <c r="J34" s="87"/>
      <c r="K34" s="86"/>
      <c r="L34" s="86"/>
      <c r="M34" s="86"/>
      <c r="N34" s="88"/>
      <c r="O34" s="88"/>
      <c r="R34" s="10"/>
      <c r="S34" s="89"/>
      <c r="T34" s="89"/>
      <c r="U34" s="90"/>
      <c r="V34" s="89"/>
      <c r="W34" s="91" t="str">
        <f aca="false">IF(OR(U34=0,N34=""), "", O34*ROUND(U34,0))</f>
        <v/>
      </c>
      <c r="X34" s="92" t="str">
        <f aca="false">IF(AND(N34="", U34&lt;&gt;""),"?",IF(AND(W34&lt;&gt;0,W34&lt;&gt;""), "р.", ""))</f>
        <v/>
      </c>
      <c r="Y34" s="93" t="str">
        <f aca="false">IF(AND(S34&gt;0,U34&gt;0), S34*ROUND(U34,0) / 1000, "")</f>
        <v/>
      </c>
      <c r="Z34" s="94" t="str">
        <f aca="false">IF(AND(Y34&lt;&gt;0,Y34&lt;&gt;""), "кг", "")</f>
        <v/>
      </c>
      <c r="AA34" s="10"/>
    </row>
    <row r="35" customFormat="false" ht="18.15" hidden="false" customHeight="true" outlineLevel="0" collapsed="false">
      <c r="B35" s="61"/>
      <c r="C35" s="62" t="str">
        <f aca="false">HYPERLINK("https://www.emi-penza.ru/p/6032.3829-02", "6032.3829-02")</f>
        <v>6032.3829-02</v>
      </c>
      <c r="D35" s="63" t="s">
        <v>51</v>
      </c>
      <c r="E35" s="63"/>
      <c r="F35" s="63"/>
      <c r="G35" s="63" t="s">
        <v>48</v>
      </c>
      <c r="H35" s="63"/>
      <c r="I35" s="64"/>
      <c r="J35" s="64"/>
      <c r="K35" s="63" t="s">
        <v>32</v>
      </c>
      <c r="L35" s="63"/>
      <c r="M35" s="63"/>
      <c r="N35" s="65" t="n">
        <v>91</v>
      </c>
      <c r="O35" s="65" t="n">
        <f aca="false">ROUND(N35*1.2, 2)</f>
        <v>109.2</v>
      </c>
      <c r="R35" s="10"/>
      <c r="S35" s="66" t="n">
        <v>27</v>
      </c>
      <c r="T35" s="66"/>
      <c r="U35" s="67" t="n">
        <v>0</v>
      </c>
      <c r="V35" s="66"/>
      <c r="W35" s="72" t="str">
        <f aca="false">IF(OR(U35=0,N35=""), "", O35*ROUND(U35,0))</f>
        <v/>
      </c>
      <c r="X35" s="69" t="str">
        <f aca="false">IF(AND(N35="", U35&lt;&gt;""),"?",IF(AND(W35&lt;&gt;0,W35&lt;&gt;""), "р.", ""))</f>
        <v/>
      </c>
      <c r="Y35" s="70" t="str">
        <f aca="false">IF(AND(S35&gt;0,U35&gt;0), S35*ROUND(U35,0) / 1000, "")</f>
        <v/>
      </c>
      <c r="Z35" s="71" t="str">
        <f aca="false">IF(AND(Y35&lt;&gt;0,Y35&lt;&gt;""), "кг", "")</f>
        <v/>
      </c>
      <c r="AA35" s="10"/>
    </row>
    <row r="36" customFormat="false" ht="13.6" hidden="false" customHeight="true" outlineLevel="0" collapsed="false">
      <c r="B36" s="61" t="s">
        <v>20</v>
      </c>
      <c r="C36" s="74" t="str">
        <f aca="false">HYPERLINK("https://www.emi-penza.ru/p/6032.3829-05", "6032.3829-05")</f>
        <v>6032.3829-05</v>
      </c>
      <c r="D36" s="75" t="s">
        <v>49</v>
      </c>
      <c r="E36" s="75"/>
      <c r="F36" s="75"/>
      <c r="G36" s="75" t="s">
        <v>48</v>
      </c>
      <c r="H36" s="75"/>
      <c r="I36" s="76"/>
      <c r="J36" s="76"/>
      <c r="K36" s="75" t="s">
        <v>28</v>
      </c>
      <c r="L36" s="75"/>
      <c r="M36" s="75"/>
      <c r="N36" s="77" t="n">
        <v>219</v>
      </c>
      <c r="O36" s="77" t="n">
        <f aca="false">ROUND(N36*1.2, 2)</f>
        <v>262.8</v>
      </c>
      <c r="R36" s="10"/>
      <c r="S36" s="78" t="n">
        <v>47</v>
      </c>
      <c r="T36" s="78"/>
      <c r="U36" s="79" t="n">
        <v>0</v>
      </c>
      <c r="V36" s="78"/>
      <c r="W36" s="80"/>
      <c r="X36" s="81"/>
      <c r="Y36" s="82"/>
      <c r="Z36" s="96"/>
      <c r="AA36" s="10"/>
    </row>
    <row r="37" customFormat="false" ht="15" hidden="false" customHeight="true" outlineLevel="0" collapsed="false">
      <c r="B37" s="84"/>
      <c r="C37" s="85"/>
      <c r="D37" s="86" t="s">
        <v>50</v>
      </c>
      <c r="E37" s="86"/>
      <c r="F37" s="86"/>
      <c r="G37" s="86" t="s">
        <v>30</v>
      </c>
      <c r="H37" s="86"/>
      <c r="I37" s="87"/>
      <c r="J37" s="87"/>
      <c r="K37" s="86"/>
      <c r="L37" s="86"/>
      <c r="M37" s="86"/>
      <c r="N37" s="88"/>
      <c r="O37" s="88"/>
      <c r="R37" s="10"/>
      <c r="S37" s="89"/>
      <c r="T37" s="89"/>
      <c r="U37" s="90"/>
      <c r="V37" s="89"/>
      <c r="W37" s="91"/>
      <c r="X37" s="92"/>
      <c r="Y37" s="93"/>
      <c r="Z37" s="94"/>
      <c r="AA37" s="10"/>
    </row>
    <row r="38" customFormat="false" ht="13.6" hidden="false" customHeight="true" outlineLevel="0" collapsed="false">
      <c r="B38" s="73"/>
      <c r="C38" s="74" t="str">
        <f aca="false">HYPERLINK("https://www.emi-penza.ru/p/6042.3829", "6042.3829")</f>
        <v>6042.3829</v>
      </c>
      <c r="D38" s="75" t="s">
        <v>52</v>
      </c>
      <c r="E38" s="75"/>
      <c r="F38" s="75"/>
      <c r="G38" s="75" t="s">
        <v>48</v>
      </c>
      <c r="H38" s="75"/>
      <c r="I38" s="76"/>
      <c r="J38" s="76"/>
      <c r="K38" s="75" t="s">
        <v>53</v>
      </c>
      <c r="L38" s="75"/>
      <c r="M38" s="75"/>
      <c r="N38" s="77" t="n">
        <v>79</v>
      </c>
      <c r="O38" s="77" t="n">
        <f aca="false">ROUND(N38*1.2, 2)</f>
        <v>94.8</v>
      </c>
      <c r="R38" s="10"/>
      <c r="S38" s="78" t="n">
        <v>27</v>
      </c>
      <c r="T38" s="78"/>
      <c r="U38" s="79" t="n">
        <v>0</v>
      </c>
      <c r="V38" s="78"/>
      <c r="W38" s="80" t="str">
        <f aca="false">IF(OR(U38=0,N38=""), "", O38*ROUND(U38,0))</f>
        <v/>
      </c>
      <c r="X38" s="81" t="str">
        <f aca="false">IF(AND(N38="", U38&lt;&gt;""),"?",IF(AND(W38&lt;&gt;0,W38&lt;&gt;""), "р.", ""))</f>
        <v/>
      </c>
      <c r="Y38" s="82" t="str">
        <f aca="false">IF(AND(S38&gt;0,U38&gt;0), S38*ROUND(U38,0) / 1000, "")</f>
        <v/>
      </c>
      <c r="Z38" s="96" t="str">
        <f aca="false">IF(AND(Y38&lt;&gt;0,Y38&lt;&gt;""), "кг", "")</f>
        <v/>
      </c>
      <c r="AA38" s="10"/>
    </row>
    <row r="39" customFormat="false" ht="15" hidden="false" customHeight="true" outlineLevel="0" collapsed="false">
      <c r="B39" s="84"/>
      <c r="C39" s="85"/>
      <c r="D39" s="86"/>
      <c r="E39" s="86"/>
      <c r="F39" s="86"/>
      <c r="G39" s="86" t="s">
        <v>54</v>
      </c>
      <c r="H39" s="86"/>
      <c r="I39" s="87"/>
      <c r="J39" s="87"/>
      <c r="K39" s="86"/>
      <c r="L39" s="86"/>
      <c r="M39" s="86"/>
      <c r="N39" s="88"/>
      <c r="O39" s="88"/>
      <c r="R39" s="10"/>
      <c r="S39" s="89"/>
      <c r="T39" s="89"/>
      <c r="U39" s="90"/>
      <c r="V39" s="89"/>
      <c r="W39" s="91"/>
      <c r="X39" s="92"/>
      <c r="Y39" s="93"/>
      <c r="Z39" s="94"/>
      <c r="AA39" s="10"/>
    </row>
    <row r="40" customFormat="false" ht="13.6" hidden="false" customHeight="true" outlineLevel="0" collapsed="false">
      <c r="B40" s="73"/>
      <c r="C40" s="74" t="str">
        <f aca="false">HYPERLINK("https://www.emi-penza.ru/p/6052.3829", "6052.3829")</f>
        <v>6052.3829</v>
      </c>
      <c r="D40" s="75" t="s">
        <v>55</v>
      </c>
      <c r="E40" s="75"/>
      <c r="F40" s="75"/>
      <c r="G40" s="75" t="s">
        <v>48</v>
      </c>
      <c r="H40" s="75"/>
      <c r="I40" s="76"/>
      <c r="J40" s="76"/>
      <c r="K40" s="75" t="s">
        <v>53</v>
      </c>
      <c r="L40" s="75"/>
      <c r="M40" s="75"/>
      <c r="N40" s="77" t="n">
        <v>99</v>
      </c>
      <c r="O40" s="77" t="n">
        <f aca="false">ROUND(N40*1.2, 2)</f>
        <v>118.8</v>
      </c>
      <c r="R40" s="10"/>
      <c r="S40" s="78" t="n">
        <v>36</v>
      </c>
      <c r="T40" s="78"/>
      <c r="U40" s="79" t="n">
        <v>0</v>
      </c>
      <c r="V40" s="78"/>
      <c r="W40" s="80" t="str">
        <f aca="false">IF(OR(U40=0,N40=""), "", O40*ROUND(U40,0))</f>
        <v/>
      </c>
      <c r="X40" s="81" t="str">
        <f aca="false">IF(AND(N40="", U40&lt;&gt;""),"?",IF(AND(W40&lt;&gt;0,W40&lt;&gt;""), "р.", ""))</f>
        <v/>
      </c>
      <c r="Y40" s="82" t="str">
        <f aca="false">IF(AND(S40&gt;0,U40&gt;0), S40*ROUND(U40,0) / 1000, "")</f>
        <v/>
      </c>
      <c r="Z40" s="96" t="str">
        <f aca="false">IF(AND(Y40&lt;&gt;0,Y40&lt;&gt;""), "кг", "")</f>
        <v/>
      </c>
      <c r="AA40" s="10"/>
    </row>
    <row r="41" customFormat="false" ht="15" hidden="false" customHeight="true" outlineLevel="0" collapsed="false">
      <c r="B41" s="84"/>
      <c r="C41" s="85"/>
      <c r="D41" s="86"/>
      <c r="E41" s="86"/>
      <c r="F41" s="86"/>
      <c r="G41" s="86" t="s">
        <v>54</v>
      </c>
      <c r="H41" s="86"/>
      <c r="I41" s="87"/>
      <c r="J41" s="87"/>
      <c r="K41" s="86"/>
      <c r="L41" s="86"/>
      <c r="M41" s="86"/>
      <c r="N41" s="88"/>
      <c r="O41" s="88"/>
      <c r="R41" s="10"/>
      <c r="S41" s="89"/>
      <c r="T41" s="89"/>
      <c r="U41" s="90"/>
      <c r="V41" s="89"/>
      <c r="W41" s="91"/>
      <c r="X41" s="92"/>
      <c r="Y41" s="93"/>
      <c r="Z41" s="94"/>
      <c r="AA41" s="10"/>
    </row>
    <row r="42" customFormat="false" ht="13.6" hidden="false" customHeight="true" outlineLevel="0" collapsed="false">
      <c r="B42" s="73"/>
      <c r="C42" s="74" t="str">
        <f aca="false">HYPERLINK("https://www.emi-penza.ru/p/6052.3829-01", "6052.3829-01")</f>
        <v>6052.3829-01</v>
      </c>
      <c r="D42" s="75" t="s">
        <v>56</v>
      </c>
      <c r="E42" s="75"/>
      <c r="F42" s="75"/>
      <c r="G42" s="75" t="s">
        <v>48</v>
      </c>
      <c r="H42" s="75"/>
      <c r="I42" s="76"/>
      <c r="J42" s="76"/>
      <c r="K42" s="75" t="s">
        <v>57</v>
      </c>
      <c r="L42" s="75"/>
      <c r="M42" s="75"/>
      <c r="N42" s="77" t="n">
        <v>199</v>
      </c>
      <c r="O42" s="77" t="n">
        <f aca="false">ROUND(N42*1.2, 2)</f>
        <v>238.8</v>
      </c>
      <c r="R42" s="10"/>
      <c r="S42" s="78" t="n">
        <v>40</v>
      </c>
      <c r="T42" s="78"/>
      <c r="U42" s="79" t="n">
        <v>0</v>
      </c>
      <c r="V42" s="78"/>
      <c r="W42" s="80" t="str">
        <f aca="false">IF(OR(U42=0,N42=""), "", O42*ROUND(U42,0))</f>
        <v/>
      </c>
      <c r="X42" s="81" t="str">
        <f aca="false">IF(AND(N42="", U42&lt;&gt;""),"?",IF(AND(W42&lt;&gt;0,W42&lt;&gt;""), "р.", ""))</f>
        <v/>
      </c>
      <c r="Y42" s="82" t="str">
        <f aca="false">IF(AND(S42&gt;0,U42&gt;0), S42*ROUND(U42,0) / 1000, "")</f>
        <v/>
      </c>
      <c r="Z42" s="96" t="str">
        <f aca="false">IF(AND(Y42&lt;&gt;0,Y42&lt;&gt;""), "кг", "")</f>
        <v/>
      </c>
      <c r="AA42" s="10"/>
    </row>
    <row r="43" customFormat="false" ht="15" hidden="false" customHeight="true" outlineLevel="0" collapsed="false">
      <c r="B43" s="84"/>
      <c r="C43" s="85"/>
      <c r="D43" s="86" t="s">
        <v>58</v>
      </c>
      <c r="E43" s="86"/>
      <c r="F43" s="86"/>
      <c r="G43" s="86" t="s">
        <v>59</v>
      </c>
      <c r="H43" s="86"/>
      <c r="I43" s="87"/>
      <c r="J43" s="87"/>
      <c r="K43" s="86"/>
      <c r="L43" s="86"/>
      <c r="M43" s="86"/>
      <c r="N43" s="88"/>
      <c r="O43" s="88"/>
      <c r="R43" s="10"/>
      <c r="S43" s="89"/>
      <c r="T43" s="89"/>
      <c r="U43" s="90"/>
      <c r="V43" s="89"/>
      <c r="W43" s="91" t="str">
        <f aca="false">IF(OR(U43=0,N43=""), "", O43*ROUND(U43,0))</f>
        <v/>
      </c>
      <c r="X43" s="92" t="str">
        <f aca="false">IF(AND(N43="", U43&lt;&gt;""),"?",IF(AND(W43&lt;&gt;0,W43&lt;&gt;""), "р.", ""))</f>
        <v/>
      </c>
      <c r="Y43" s="93" t="str">
        <f aca="false">IF(AND(S43&gt;0,U43&gt;0), S43*ROUND(U43,0) / 1000, "")</f>
        <v/>
      </c>
      <c r="Z43" s="94" t="str">
        <f aca="false">IF(AND(Y43&lt;&gt;0,Y43&lt;&gt;""), "кг", "")</f>
        <v/>
      </c>
      <c r="AA43" s="10"/>
    </row>
    <row r="44" customFormat="false" ht="13.6" hidden="false" customHeight="true" outlineLevel="0" collapsed="false">
      <c r="B44" s="73"/>
      <c r="C44" s="74" t="str">
        <f aca="false">HYPERLINK("https://www.emi-penza.ru/p/6052.3829-03", "6052.3829-03")</f>
        <v>6052.3829-03</v>
      </c>
      <c r="D44" s="75" t="s">
        <v>55</v>
      </c>
      <c r="E44" s="75"/>
      <c r="F44" s="75"/>
      <c r="G44" s="75" t="s">
        <v>60</v>
      </c>
      <c r="H44" s="75"/>
      <c r="I44" s="76"/>
      <c r="J44" s="76"/>
      <c r="K44" s="75" t="s">
        <v>61</v>
      </c>
      <c r="L44" s="75"/>
      <c r="M44" s="75"/>
      <c r="N44" s="77" t="n">
        <v>100</v>
      </c>
      <c r="O44" s="77" t="n">
        <f aca="false">ROUND(N44*1.2, 2)</f>
        <v>120</v>
      </c>
      <c r="R44" s="10"/>
      <c r="S44" s="78" t="n">
        <v>42</v>
      </c>
      <c r="T44" s="78"/>
      <c r="U44" s="79" t="n">
        <v>0</v>
      </c>
      <c r="V44" s="78"/>
      <c r="W44" s="80" t="str">
        <f aca="false">IF(OR(U44=0,N44=""), "", O44*ROUND(U44,0))</f>
        <v/>
      </c>
      <c r="X44" s="81" t="str">
        <f aca="false">IF(AND(N44="", U44&lt;&gt;""),"?",IF(AND(W44&lt;&gt;0,W44&lt;&gt;""), "р.", ""))</f>
        <v/>
      </c>
      <c r="Y44" s="82" t="str">
        <f aca="false">IF(AND(S44&gt;0,U44&gt;0), S44*ROUND(U44,0) / 1000, "")</f>
        <v/>
      </c>
      <c r="Z44" s="96" t="str">
        <f aca="false">IF(AND(Y44&lt;&gt;0,Y44&lt;&gt;""), "кг", "")</f>
        <v/>
      </c>
      <c r="AA44" s="10"/>
    </row>
    <row r="45" customFormat="false" ht="15" hidden="false" customHeight="true" outlineLevel="0" collapsed="false">
      <c r="B45" s="84"/>
      <c r="C45" s="85"/>
      <c r="D45" s="86"/>
      <c r="E45" s="86"/>
      <c r="F45" s="86"/>
      <c r="G45" s="86" t="s">
        <v>54</v>
      </c>
      <c r="H45" s="86"/>
      <c r="I45" s="87"/>
      <c r="J45" s="87"/>
      <c r="K45" s="86"/>
      <c r="L45" s="86"/>
      <c r="M45" s="86"/>
      <c r="N45" s="88"/>
      <c r="O45" s="88"/>
      <c r="R45" s="10"/>
      <c r="S45" s="89"/>
      <c r="T45" s="89"/>
      <c r="U45" s="90"/>
      <c r="V45" s="89"/>
      <c r="W45" s="91"/>
      <c r="X45" s="92"/>
      <c r="Y45" s="93"/>
      <c r="Z45" s="94"/>
      <c r="AA45" s="10"/>
    </row>
    <row r="46" customFormat="false" ht="18.15" hidden="false" customHeight="true" outlineLevel="0" collapsed="false">
      <c r="B46" s="61"/>
      <c r="C46" s="62" t="str">
        <f aca="false">HYPERLINK("https://www.emi-penza.ru/p/6062.3829", "6062.3829")</f>
        <v>6062.3829</v>
      </c>
      <c r="D46" s="63" t="s">
        <v>62</v>
      </c>
      <c r="E46" s="63"/>
      <c r="F46" s="63"/>
      <c r="G46" s="63" t="s">
        <v>23</v>
      </c>
      <c r="H46" s="63"/>
      <c r="I46" s="64"/>
      <c r="J46" s="64"/>
      <c r="K46" s="63" t="s">
        <v>63</v>
      </c>
      <c r="L46" s="63"/>
      <c r="M46" s="98" t="s">
        <v>64</v>
      </c>
      <c r="N46" s="65" t="n">
        <v>152</v>
      </c>
      <c r="O46" s="65" t="n">
        <f aca="false">ROUND(N46*1.2, 2)</f>
        <v>182.4</v>
      </c>
      <c r="R46" s="10"/>
      <c r="S46" s="66" t="n">
        <v>38</v>
      </c>
      <c r="T46" s="66"/>
      <c r="U46" s="67" t="n">
        <v>0</v>
      </c>
      <c r="V46" s="66"/>
      <c r="W46" s="72" t="str">
        <f aca="false">IF(OR(U46=0,N46=""), "", O46*ROUND(U46,0))</f>
        <v/>
      </c>
      <c r="X46" s="99" t="str">
        <f aca="false">IF(AND(N46="", U46&lt;&gt;""),"?",IF(AND(W46&lt;&gt;0,W46&lt;&gt;""), "р.", ""))</f>
        <v/>
      </c>
      <c r="Y46" s="70" t="str">
        <f aca="false">IF(AND(S46&gt;0,U46&gt;0), S46*ROUND(U46,0) / 1000, "")</f>
        <v/>
      </c>
      <c r="Z46" s="99" t="str">
        <f aca="false">IF(AND(Y46&lt;&gt;0,Y46&lt;&gt;""), "кг", "")</f>
        <v/>
      </c>
      <c r="AA46" s="10"/>
    </row>
    <row r="47" customFormat="false" ht="18.15" hidden="false" customHeight="true" outlineLevel="0" collapsed="false">
      <c r="B47" s="61"/>
      <c r="C47" s="62" t="str">
        <f aca="false">HYPERLINK("https://www.emi-penza.ru/p/6072.3829", "6072.3829")</f>
        <v>6072.3829</v>
      </c>
      <c r="D47" s="63"/>
      <c r="E47" s="63"/>
      <c r="F47" s="63"/>
      <c r="G47" s="63" t="s">
        <v>48</v>
      </c>
      <c r="H47" s="63"/>
      <c r="I47" s="64"/>
      <c r="J47" s="64"/>
      <c r="K47" s="63" t="s">
        <v>65</v>
      </c>
      <c r="L47" s="63"/>
      <c r="M47" s="63"/>
      <c r="N47" s="65" t="n">
        <v>100</v>
      </c>
      <c r="O47" s="65" t="n">
        <f aca="false">ROUND(N47*1.2, 2)</f>
        <v>120</v>
      </c>
      <c r="R47" s="10"/>
      <c r="S47" s="66" t="n">
        <v>37</v>
      </c>
      <c r="T47" s="66"/>
      <c r="U47" s="67" t="n">
        <v>0</v>
      </c>
      <c r="V47" s="66"/>
      <c r="W47" s="72" t="str">
        <f aca="false">IF(OR(U47=0,N47=""), "", O47*ROUND(U47,0))</f>
        <v/>
      </c>
      <c r="X47" s="99" t="str">
        <f aca="false">IF(AND(N47="", U47&lt;&gt;""),"?",IF(AND(W47&lt;&gt;0,W47&lt;&gt;""), "р.", ""))</f>
        <v/>
      </c>
      <c r="Y47" s="70" t="str">
        <f aca="false">IF(AND(S47&gt;0,U47&gt;0), S47*ROUND(U47,0) / 1000, "")</f>
        <v/>
      </c>
      <c r="Z47" s="99" t="str">
        <f aca="false">IF(AND(Y47&lt;&gt;0,Y47&lt;&gt;""), "кг", "")</f>
        <v/>
      </c>
      <c r="AA47" s="10"/>
      <c r="AB47" s="3"/>
    </row>
    <row r="48" customFormat="false" ht="18.15" hidden="false" customHeight="true" outlineLevel="0" collapsed="false">
      <c r="B48" s="61"/>
      <c r="C48" s="62" t="str">
        <f aca="false">HYPERLINK("https://www.emi-penza.ru/p/6072.3829-03", "6072.3829-03")</f>
        <v>6072.3829-03</v>
      </c>
      <c r="D48" s="63"/>
      <c r="E48" s="63"/>
      <c r="F48" s="63"/>
      <c r="G48" s="63" t="s">
        <v>48</v>
      </c>
      <c r="H48" s="63"/>
      <c r="I48" s="64"/>
      <c r="J48" s="64"/>
      <c r="K48" s="63" t="s">
        <v>61</v>
      </c>
      <c r="L48" s="63"/>
      <c r="M48" s="63"/>
      <c r="N48" s="65" t="n">
        <v>100</v>
      </c>
      <c r="O48" s="65" t="n">
        <f aca="false">ROUND(N48*1.2, 2)</f>
        <v>120</v>
      </c>
      <c r="R48" s="10"/>
      <c r="S48" s="66" t="n">
        <v>45</v>
      </c>
      <c r="T48" s="66"/>
      <c r="U48" s="67" t="n">
        <v>0</v>
      </c>
      <c r="V48" s="66"/>
      <c r="W48" s="72" t="str">
        <f aca="false">IF(OR(U48=0,N48=""), "", O48*ROUND(U48,0))</f>
        <v/>
      </c>
      <c r="X48" s="99" t="str">
        <f aca="false">IF(AND(N48="", U48&lt;&gt;""),"?",IF(AND(W48&lt;&gt;0,W48&lt;&gt;""), "р.", ""))</f>
        <v/>
      </c>
      <c r="Y48" s="70" t="str">
        <f aca="false">IF(AND(S48&gt;0,U48&gt;0), S48*ROUND(U48,0) / 1000, "")</f>
        <v/>
      </c>
      <c r="Z48" s="99" t="str">
        <f aca="false">IF(AND(Y48&lt;&gt;0,Y48&lt;&gt;""), "кг", "")</f>
        <v/>
      </c>
      <c r="AA48" s="10"/>
    </row>
    <row r="49" customFormat="false" ht="18.15" hidden="false" customHeight="true" outlineLevel="0" collapsed="false">
      <c r="B49" s="61"/>
      <c r="C49" s="62" t="str">
        <f aca="false">HYPERLINK("https://www.emi-penza.ru/p/6072.3829-04", "6072.3829-04")</f>
        <v>6072.3829-04</v>
      </c>
      <c r="D49" s="63"/>
      <c r="E49" s="63"/>
      <c r="F49" s="63"/>
      <c r="G49" s="63" t="s">
        <v>48</v>
      </c>
      <c r="H49" s="63"/>
      <c r="I49" s="64"/>
      <c r="J49" s="64"/>
      <c r="K49" s="63" t="s">
        <v>46</v>
      </c>
      <c r="L49" s="63"/>
      <c r="M49" s="63"/>
      <c r="N49" s="65" t="n">
        <v>109</v>
      </c>
      <c r="O49" s="65" t="n">
        <f aca="false">ROUND(N49*1.2, 2)</f>
        <v>130.8</v>
      </c>
      <c r="R49" s="10"/>
      <c r="S49" s="66" t="n">
        <v>37</v>
      </c>
      <c r="T49" s="66"/>
      <c r="U49" s="67" t="n">
        <v>0</v>
      </c>
      <c r="V49" s="66"/>
      <c r="W49" s="72" t="str">
        <f aca="false">IF(OR(U49=0,N49=""), "", O49*ROUND(U49,0))</f>
        <v/>
      </c>
      <c r="X49" s="99" t="str">
        <f aca="false">IF(AND(N49="", U49&lt;&gt;""),"?",IF(AND(W49&lt;&gt;0,W49&lt;&gt;""), "р.", ""))</f>
        <v/>
      </c>
      <c r="Y49" s="70" t="str">
        <f aca="false">IF(AND(S49&gt;0,U49&gt;0), S49*ROUND(U49,0) / 1000, "")</f>
        <v/>
      </c>
      <c r="Z49" s="99" t="str">
        <f aca="false">IF(AND(Y49&lt;&gt;0,Y49&lt;&gt;""), "кг", "")</f>
        <v/>
      </c>
      <c r="AA49" s="10"/>
    </row>
    <row r="50" customFormat="false" ht="13.6" hidden="false" customHeight="true" outlineLevel="0" collapsed="false">
      <c r="B50" s="73"/>
      <c r="C50" s="74" t="str">
        <f aca="false">HYPERLINK("https://www.emi-penza.ru/p/6072.3829-05", "6072.3829-05")</f>
        <v>6072.3829-05</v>
      </c>
      <c r="D50" s="75" t="s">
        <v>66</v>
      </c>
      <c r="E50" s="75"/>
      <c r="F50" s="75"/>
      <c r="G50" s="75" t="s">
        <v>67</v>
      </c>
      <c r="H50" s="75"/>
      <c r="I50" s="76"/>
      <c r="J50" s="76"/>
      <c r="K50" s="75" t="s">
        <v>68</v>
      </c>
      <c r="L50" s="75"/>
      <c r="M50" s="75"/>
      <c r="N50" s="77" t="n">
        <v>929</v>
      </c>
      <c r="O50" s="77" t="n">
        <f aca="false">ROUND(N50*1.2, 2)</f>
        <v>1114.8</v>
      </c>
      <c r="R50" s="10"/>
      <c r="S50" s="78" t="n">
        <v>55</v>
      </c>
      <c r="T50" s="78"/>
      <c r="U50" s="79" t="n">
        <v>0</v>
      </c>
      <c r="V50" s="78"/>
      <c r="W50" s="80" t="str">
        <f aca="false">IF(OR(U50=0,N50=""), "", O50*ROUND(U50,0))</f>
        <v/>
      </c>
      <c r="X50" s="100" t="str">
        <f aca="false">IF(AND(N50="", U50&lt;&gt;""),"?",IF(AND(W50&lt;&gt;0,W50&lt;&gt;""), "р.", ""))</f>
        <v/>
      </c>
      <c r="Y50" s="82" t="str">
        <f aca="false">IF(AND(S50&gt;0,U50&gt;0), S50*ROUND(U50,0) / 1000, "")</f>
        <v/>
      </c>
      <c r="Z50" s="100" t="str">
        <f aca="false">IF(AND(Y50&lt;&gt;0,Y50&lt;&gt;""), "кг", "")</f>
        <v/>
      </c>
      <c r="AA50" s="10"/>
    </row>
    <row r="51" customFormat="false" ht="15" hidden="false" customHeight="true" outlineLevel="0" collapsed="false">
      <c r="B51" s="84"/>
      <c r="C51" s="85"/>
      <c r="D51" s="86" t="s">
        <v>69</v>
      </c>
      <c r="E51" s="86"/>
      <c r="F51" s="86"/>
      <c r="G51" s="86"/>
      <c r="H51" s="86"/>
      <c r="I51" s="87"/>
      <c r="J51" s="87"/>
      <c r="K51" s="86"/>
      <c r="L51" s="86"/>
      <c r="M51" s="97"/>
      <c r="N51" s="88"/>
      <c r="O51" s="88"/>
      <c r="R51" s="10"/>
      <c r="S51" s="89"/>
      <c r="T51" s="89"/>
      <c r="U51" s="90"/>
      <c r="V51" s="89"/>
      <c r="W51" s="91" t="str">
        <f aca="false">IF(OR(U51=0,N51=""), "", O51*ROUND(U51,0))</f>
        <v/>
      </c>
      <c r="X51" s="101" t="str">
        <f aca="false">IF(AND(N51="", U51&lt;&gt;""),"?",IF(AND(W51&lt;&gt;0,W51&lt;&gt;""), "р.", ""))</f>
        <v/>
      </c>
      <c r="Y51" s="93" t="str">
        <f aca="false">IF(AND(S51&gt;0,U51&gt;0), S51*ROUND(U51,0) / 1000, "")</f>
        <v/>
      </c>
      <c r="Z51" s="101" t="str">
        <f aca="false">IF(AND(Y51&lt;&gt;0,Y51&lt;&gt;""), "кг", "")</f>
        <v/>
      </c>
      <c r="AA51" s="10"/>
    </row>
    <row r="52" customFormat="false" ht="18.15" hidden="false" customHeight="true" outlineLevel="0" collapsed="false">
      <c r="B52" s="61"/>
      <c r="C52" s="62" t="str">
        <f aca="false">HYPERLINK("https://www.emi-penza.ru/p/153", "6072.3829-06 (0,9 бар)")</f>
        <v>6072.3829-06 (0,9 бар)</v>
      </c>
      <c r="D52" s="63"/>
      <c r="E52" s="63"/>
      <c r="F52" s="63" t="s">
        <v>70</v>
      </c>
      <c r="G52" s="63" t="s">
        <v>60</v>
      </c>
      <c r="H52" s="63"/>
      <c r="I52" s="64"/>
      <c r="J52" s="64"/>
      <c r="K52" s="63" t="s">
        <v>71</v>
      </c>
      <c r="L52" s="63"/>
      <c r="M52" s="98"/>
      <c r="N52" s="65" t="n">
        <v>459</v>
      </c>
      <c r="O52" s="65" t="n">
        <f aca="false">ROUND(N52*1.2, 2)</f>
        <v>550.8</v>
      </c>
      <c r="R52" s="10"/>
      <c r="S52" s="66" t="n">
        <v>55</v>
      </c>
      <c r="T52" s="66"/>
      <c r="U52" s="67" t="n">
        <v>0</v>
      </c>
      <c r="V52" s="66"/>
      <c r="W52" s="72" t="str">
        <f aca="false">IF(OR(U52=0,N52=""), "", O52*ROUND(U52,0))</f>
        <v/>
      </c>
      <c r="X52" s="99" t="str">
        <f aca="false">IF(AND(N52="", U52&lt;&gt;""),"?",IF(AND(W52&lt;&gt;0,W52&lt;&gt;""), "р.", ""))</f>
        <v/>
      </c>
      <c r="Y52" s="70" t="str">
        <f aca="false">IF(AND(S52&gt;0,U52&gt;0), S52*ROUND(U52,0) / 1000, "")</f>
        <v/>
      </c>
      <c r="Z52" s="99" t="str">
        <f aca="false">IF(AND(Y52&lt;&gt;0,Y52&lt;&gt;""), "кг", "")</f>
        <v/>
      </c>
      <c r="AA52" s="10"/>
    </row>
    <row r="53" customFormat="false" ht="13.6" hidden="false" customHeight="true" outlineLevel="0" collapsed="false">
      <c r="B53" s="73"/>
      <c r="C53" s="74" t="str">
        <f aca="false">HYPERLINK("https://www.emi-penza.ru/p/174", "6072.3829-06 (2,0 бар)")</f>
        <v>6072.3829-06 (2,0 бар)</v>
      </c>
      <c r="D53" s="75"/>
      <c r="E53" s="75"/>
      <c r="F53" s="75" t="s">
        <v>72</v>
      </c>
      <c r="G53" s="75" t="s">
        <v>60</v>
      </c>
      <c r="H53" s="75"/>
      <c r="I53" s="76"/>
      <c r="J53" s="76"/>
      <c r="K53" s="75" t="s">
        <v>71</v>
      </c>
      <c r="L53" s="75"/>
      <c r="M53" s="95"/>
      <c r="N53" s="77" t="n">
        <v>459</v>
      </c>
      <c r="O53" s="77" t="n">
        <f aca="false">ROUND(N53*1.2, 2)</f>
        <v>550.8</v>
      </c>
      <c r="R53" s="10"/>
      <c r="S53" s="78" t="n">
        <v>55</v>
      </c>
      <c r="T53" s="78"/>
      <c r="U53" s="79" t="n">
        <v>0</v>
      </c>
      <c r="V53" s="78"/>
      <c r="W53" s="80" t="str">
        <f aca="false">IF(OR(U53=0,N53=""), "", O53*ROUND(U53,0))</f>
        <v/>
      </c>
      <c r="X53" s="100" t="str">
        <f aca="false">IF(AND(N53="", U53&lt;&gt;""),"?",IF(AND(W53&lt;&gt;0,W53&lt;&gt;""), "р.", ""))</f>
        <v/>
      </c>
      <c r="Y53" s="82" t="str">
        <f aca="false">IF(AND(S53&gt;0,U53&gt;0), S53*ROUND(U53,0) / 1000, "")</f>
        <v/>
      </c>
      <c r="Z53" s="100" t="str">
        <f aca="false">IF(AND(Y53&lt;&gt;0,Y53&lt;&gt;""), "кг", "")</f>
        <v/>
      </c>
      <c r="AA53" s="10"/>
    </row>
    <row r="54" customFormat="false" ht="13.6" hidden="false" customHeight="true" outlineLevel="0" collapsed="false">
      <c r="B54" s="102"/>
      <c r="C54" s="103"/>
      <c r="D54" s="104"/>
      <c r="E54" s="105"/>
      <c r="F54" s="105" t="s">
        <v>73</v>
      </c>
      <c r="G54" s="106"/>
      <c r="H54" s="106"/>
      <c r="I54" s="107"/>
      <c r="J54" s="107"/>
      <c r="K54" s="106"/>
      <c r="L54" s="106"/>
      <c r="M54" s="106"/>
      <c r="N54" s="108"/>
      <c r="O54" s="108"/>
      <c r="P54" s="109"/>
      <c r="R54" s="110"/>
      <c r="S54" s="111"/>
      <c r="T54" s="111"/>
      <c r="U54" s="112"/>
      <c r="V54" s="111"/>
      <c r="W54" s="113"/>
      <c r="X54" s="114"/>
      <c r="Y54" s="115"/>
      <c r="Z54" s="114"/>
      <c r="AA54" s="110"/>
      <c r="AB54" s="109"/>
      <c r="AC54" s="109"/>
      <c r="AD54" s="109"/>
    </row>
    <row r="55" customFormat="false" ht="28.35" hidden="false" customHeight="true" outlineLevel="0" collapsed="false">
      <c r="B55" s="84"/>
      <c r="C55" s="116"/>
      <c r="D55" s="117"/>
      <c r="E55" s="117"/>
      <c r="F55" s="117"/>
      <c r="G55" s="117"/>
      <c r="H55" s="117"/>
      <c r="I55" s="118"/>
      <c r="J55" s="118"/>
      <c r="K55" s="117"/>
      <c r="L55" s="117"/>
      <c r="M55" s="119"/>
      <c r="N55" s="120"/>
      <c r="O55" s="120"/>
      <c r="R55" s="10"/>
      <c r="S55" s="121"/>
      <c r="T55" s="121"/>
      <c r="U55" s="122"/>
      <c r="V55" s="121"/>
      <c r="W55" s="123" t="str">
        <f aca="false">IF(OR(U55=0,N55=""), "", O55*ROUND(U55,0))</f>
        <v/>
      </c>
      <c r="X55" s="124" t="str">
        <f aca="false">IF(AND(N55="", U55&lt;&gt;""),"?",IF(AND(W55&lt;&gt;0,W55&lt;&gt;""), "р.", ""))</f>
        <v/>
      </c>
      <c r="Y55" s="125" t="str">
        <f aca="false">IF(AND(S55&gt;0,U55&gt;0), S55*ROUND(U55,0) / 1000, "")</f>
        <v/>
      </c>
      <c r="Z55" s="124" t="str">
        <f aca="false">IF(AND(Y55&lt;&gt;0,Y55&lt;&gt;""), "кг", "")</f>
        <v/>
      </c>
      <c r="AA55" s="10"/>
    </row>
    <row r="56" customFormat="false" ht="18.15" hidden="false" customHeight="true" outlineLevel="0" collapsed="false">
      <c r="B56" s="61"/>
      <c r="C56" s="62" t="str">
        <f aca="false">HYPERLINK("https://www.emi-penza.ru/p/3602.3828", "3602.3828")</f>
        <v>3602.3828</v>
      </c>
      <c r="D56" s="63" t="s">
        <v>74</v>
      </c>
      <c r="E56" s="63"/>
      <c r="F56" s="63"/>
      <c r="G56" s="63" t="s">
        <v>75</v>
      </c>
      <c r="H56" s="63"/>
      <c r="I56" s="64"/>
      <c r="J56" s="64"/>
      <c r="K56" s="63" t="s">
        <v>37</v>
      </c>
      <c r="L56" s="63"/>
      <c r="M56" s="63"/>
      <c r="N56" s="65" t="n">
        <v>135</v>
      </c>
      <c r="O56" s="65" t="n">
        <f aca="false">ROUND(N56*1.2, 2)</f>
        <v>162</v>
      </c>
      <c r="R56" s="10"/>
      <c r="S56" s="66" t="n">
        <v>35</v>
      </c>
      <c r="T56" s="66"/>
      <c r="U56" s="67" t="n">
        <v>0</v>
      </c>
      <c r="V56" s="66"/>
      <c r="W56" s="72" t="str">
        <f aca="false">IF(OR(U56=0,N56=""), "", O56*ROUND(U56,0))</f>
        <v/>
      </c>
      <c r="X56" s="99" t="str">
        <f aca="false">IF(AND(N56="", U56&lt;&gt;""),"?",IF(AND(W56&lt;&gt;0,W56&lt;&gt;""), "р.", ""))</f>
        <v/>
      </c>
      <c r="Y56" s="70" t="str">
        <f aca="false">IF(AND(S56&gt;0,U56&gt;0), S56*ROUND(U56,0) / 1000, "")</f>
        <v/>
      </c>
      <c r="Z56" s="99" t="str">
        <f aca="false">IF(AND(Y56&lt;&gt;0,Y56&lt;&gt;""), "кг", "")</f>
        <v/>
      </c>
      <c r="AA56" s="10"/>
    </row>
    <row r="57" customFormat="false" ht="18.15" hidden="false" customHeight="true" outlineLevel="0" collapsed="false">
      <c r="B57" s="61"/>
      <c r="C57" s="62" t="str">
        <f aca="false">HYPERLINK("https://www.emi-penza.ru/p/3602.3828-01", "3602.3828-01")</f>
        <v>3602.3828-01</v>
      </c>
      <c r="D57" s="63" t="s">
        <v>76</v>
      </c>
      <c r="E57" s="63"/>
      <c r="F57" s="63"/>
      <c r="G57" s="63" t="s">
        <v>75</v>
      </c>
      <c r="H57" s="63"/>
      <c r="I57" s="64"/>
      <c r="J57" s="64"/>
      <c r="K57" s="63" t="s">
        <v>37</v>
      </c>
      <c r="L57" s="63"/>
      <c r="M57" s="63"/>
      <c r="N57" s="65" t="n">
        <v>143</v>
      </c>
      <c r="O57" s="65" t="n">
        <f aca="false">ROUND(N57*1.2, 2)</f>
        <v>171.6</v>
      </c>
      <c r="R57" s="10"/>
      <c r="S57" s="66" t="n">
        <v>32</v>
      </c>
      <c r="T57" s="66"/>
      <c r="U57" s="67" t="n">
        <v>0</v>
      </c>
      <c r="V57" s="66"/>
      <c r="W57" s="72" t="str">
        <f aca="false">IF(OR(U57=0,N57=""), "", O57*ROUND(U57,0))</f>
        <v/>
      </c>
      <c r="X57" s="99" t="str">
        <f aca="false">IF(AND(N57="", U57&lt;&gt;""),"?",IF(AND(W57&lt;&gt;0,W57&lt;&gt;""), "р.", ""))</f>
        <v/>
      </c>
      <c r="Y57" s="70" t="str">
        <f aca="false">IF(AND(S57&gt;0,U57&gt;0), S57*ROUND(U57,0) / 1000, "")</f>
        <v/>
      </c>
      <c r="Z57" s="99" t="str">
        <f aca="false">IF(AND(Y57&lt;&gt;0,Y57&lt;&gt;""), "кг", "")</f>
        <v/>
      </c>
      <c r="AA57" s="10"/>
    </row>
    <row r="58" customFormat="false" ht="13.6" hidden="false" customHeight="true" outlineLevel="0" collapsed="false">
      <c r="B58" s="73"/>
      <c r="C58" s="74" t="str">
        <f aca="false">HYPERLINK("https://www.emi-penza.ru/p/30.3847", "30.3847")</f>
        <v>30.3847</v>
      </c>
      <c r="D58" s="75" t="s">
        <v>77</v>
      </c>
      <c r="E58" s="75"/>
      <c r="F58" s="75"/>
      <c r="G58" s="75" t="s">
        <v>78</v>
      </c>
      <c r="H58" s="75"/>
      <c r="I58" s="76"/>
      <c r="J58" s="76"/>
      <c r="K58" s="75" t="s">
        <v>79</v>
      </c>
      <c r="L58" s="75"/>
      <c r="M58" s="75"/>
      <c r="N58" s="77" t="n">
        <v>195</v>
      </c>
      <c r="O58" s="77" t="n">
        <f aca="false">ROUND(N58*1.2, 2)</f>
        <v>234</v>
      </c>
      <c r="R58" s="10"/>
      <c r="S58" s="78" t="n">
        <v>37</v>
      </c>
      <c r="T58" s="78"/>
      <c r="U58" s="79" t="n">
        <v>0</v>
      </c>
      <c r="V58" s="78"/>
      <c r="W58" s="80" t="str">
        <f aca="false">IF(OR(U58=0,N58=""), "", O58*ROUND(U58,0))</f>
        <v/>
      </c>
      <c r="X58" s="100" t="str">
        <f aca="false">IF(AND(N58="", U58&lt;&gt;""),"?",IF(AND(W58&lt;&gt;0,W58&lt;&gt;""), "р.", ""))</f>
        <v/>
      </c>
      <c r="Y58" s="82" t="str">
        <f aca="false">IF(AND(S58&gt;0,U58&gt;0), S58*ROUND(U58,0) / 1000, "")</f>
        <v/>
      </c>
      <c r="Z58" s="100" t="str">
        <f aca="false">IF(AND(Y58&lt;&gt;0,Y58&lt;&gt;""), "кг", "")</f>
        <v/>
      </c>
      <c r="AA58" s="10"/>
    </row>
    <row r="59" customFormat="false" ht="15" hidden="false" customHeight="true" outlineLevel="0" collapsed="false">
      <c r="B59" s="84"/>
      <c r="C59" s="85"/>
      <c r="D59" s="86"/>
      <c r="E59" s="86"/>
      <c r="F59" s="86"/>
      <c r="G59" s="86"/>
      <c r="H59" s="86"/>
      <c r="I59" s="87"/>
      <c r="J59" s="87"/>
      <c r="K59" s="86"/>
      <c r="L59" s="86"/>
      <c r="M59" s="97" t="s">
        <v>64</v>
      </c>
      <c r="N59" s="88" t="n">
        <v>202</v>
      </c>
      <c r="O59" s="88" t="n">
        <f aca="false">ROUND(N59*1.2, 2)</f>
        <v>242.4</v>
      </c>
      <c r="R59" s="10"/>
      <c r="S59" s="89" t="n">
        <v>43</v>
      </c>
      <c r="T59" s="89"/>
      <c r="U59" s="90" t="n">
        <v>0</v>
      </c>
      <c r="V59" s="89"/>
      <c r="W59" s="91" t="str">
        <f aca="false">IF(OR(U59=0,N59=""), "", O59*ROUND(U59,0))</f>
        <v/>
      </c>
      <c r="X59" s="101" t="str">
        <f aca="false">IF(AND(N59="", U59&lt;&gt;""),"?",IF(AND(W59&lt;&gt;0,W59&lt;&gt;""), "р.", ""))</f>
        <v/>
      </c>
      <c r="Y59" s="93" t="str">
        <f aca="false">IF(AND(S59&gt;0,U59&gt;0), S59*ROUND(U59,0) / 1000, "")</f>
        <v/>
      </c>
      <c r="Z59" s="101" t="str">
        <f aca="false">IF(AND(Y59&lt;&gt;0,Y59&lt;&gt;""), "кг", "")</f>
        <v/>
      </c>
      <c r="AA59" s="10"/>
    </row>
    <row r="60" customFormat="false" ht="13.6" hidden="false" customHeight="true" outlineLevel="0" collapsed="false">
      <c r="B60" s="73"/>
      <c r="C60" s="74" t="str">
        <f aca="false">HYPERLINK("https://www.emi-penza.ru/p/56.3843", "56.3843")</f>
        <v>56.3843</v>
      </c>
      <c r="D60" s="75" t="s">
        <v>80</v>
      </c>
      <c r="E60" s="75"/>
      <c r="F60" s="75"/>
      <c r="G60" s="75" t="s">
        <v>81</v>
      </c>
      <c r="H60" s="75"/>
      <c r="I60" s="76"/>
      <c r="J60" s="76"/>
      <c r="K60" s="75" t="s">
        <v>82</v>
      </c>
      <c r="L60" s="75"/>
      <c r="M60" s="75"/>
      <c r="N60" s="77" t="n">
        <v>171</v>
      </c>
      <c r="O60" s="77" t="n">
        <f aca="false">ROUND(N60*1.2, 2)</f>
        <v>205.2</v>
      </c>
      <c r="R60" s="10"/>
      <c r="S60" s="78" t="n">
        <v>18</v>
      </c>
      <c r="T60" s="78"/>
      <c r="U60" s="79" t="n">
        <v>0</v>
      </c>
      <c r="V60" s="78"/>
      <c r="W60" s="80" t="str">
        <f aca="false">IF(OR(U60=0,N60=""), "", O60*ROUND(U60,0))</f>
        <v/>
      </c>
      <c r="X60" s="100" t="str">
        <f aca="false">IF(AND(N60="", U60&lt;&gt;""),"?",IF(AND(W60&lt;&gt;0,W60&lt;&gt;""), "р.", ""))</f>
        <v/>
      </c>
      <c r="Y60" s="82" t="str">
        <f aca="false">IF(AND(S60&gt;0,U60&gt;0), S60*ROUND(U60,0) / 1000, "")</f>
        <v/>
      </c>
      <c r="Z60" s="100" t="str">
        <f aca="false">IF(AND(Y60&lt;&gt;0,Y60&lt;&gt;""), "кг", "")</f>
        <v/>
      </c>
      <c r="AA60" s="10"/>
    </row>
    <row r="61" customFormat="false" ht="15" hidden="false" customHeight="true" outlineLevel="0" collapsed="false">
      <c r="B61" s="84"/>
      <c r="C61" s="85"/>
      <c r="D61" s="86" t="s">
        <v>83</v>
      </c>
      <c r="E61" s="86"/>
      <c r="F61" s="86"/>
      <c r="G61" s="86"/>
      <c r="H61" s="86"/>
      <c r="I61" s="87"/>
      <c r="J61" s="87"/>
      <c r="K61" s="86" t="s">
        <v>84</v>
      </c>
      <c r="L61" s="86"/>
      <c r="M61" s="97"/>
      <c r="N61" s="88"/>
      <c r="O61" s="88"/>
      <c r="R61" s="10"/>
      <c r="S61" s="89"/>
      <c r="T61" s="89"/>
      <c r="U61" s="90"/>
      <c r="V61" s="89"/>
      <c r="W61" s="91" t="str">
        <f aca="false">IF(OR(U61=0,N61=""), "", O61*ROUND(U61,0))</f>
        <v/>
      </c>
      <c r="X61" s="101" t="str">
        <f aca="false">IF(AND(N61="", U61&lt;&gt;""),"?",IF(AND(W61&lt;&gt;0,W61&lt;&gt;""), "р.", ""))</f>
        <v/>
      </c>
      <c r="Y61" s="93" t="str">
        <f aca="false">IF(AND(S61&gt;0,U61&gt;0), S61*ROUND(U61,0) / 1000, "")</f>
        <v/>
      </c>
      <c r="Z61" s="101" t="str">
        <f aca="false">IF(AND(Y61&lt;&gt;0,Y61&lt;&gt;""), "кг", "")</f>
        <v/>
      </c>
      <c r="AA61" s="10"/>
    </row>
    <row r="62" customFormat="false" ht="18.15" hidden="false" customHeight="true" outlineLevel="0" collapsed="false">
      <c r="B62" s="61"/>
      <c r="C62" s="62" t="str">
        <f aca="false">HYPERLINK("https://www.emi-penza.ru/p/64.3855", "64.3855")</f>
        <v>64.3855</v>
      </c>
      <c r="D62" s="63" t="s">
        <v>85</v>
      </c>
      <c r="E62" s="63"/>
      <c r="F62" s="63"/>
      <c r="G62" s="63" t="s">
        <v>86</v>
      </c>
      <c r="H62" s="63"/>
      <c r="I62" s="64"/>
      <c r="J62" s="64"/>
      <c r="K62" s="63" t="s">
        <v>87</v>
      </c>
      <c r="L62" s="63"/>
      <c r="M62" s="63"/>
      <c r="N62" s="65" t="n">
        <v>105</v>
      </c>
      <c r="O62" s="65" t="n">
        <f aca="false">ROUND(N62*1.2, 2)</f>
        <v>126</v>
      </c>
      <c r="R62" s="10"/>
      <c r="S62" s="66" t="n">
        <v>46</v>
      </c>
      <c r="T62" s="66"/>
      <c r="U62" s="67" t="n">
        <v>0</v>
      </c>
      <c r="V62" s="66"/>
      <c r="W62" s="72" t="str">
        <f aca="false">IF(OR(U62=0,N62=""), "", O62*ROUND(U62,0))</f>
        <v/>
      </c>
      <c r="X62" s="99" t="str">
        <f aca="false">IF(AND(N62="", U62&lt;&gt;""),"?",IF(AND(W62&lt;&gt;0,W62&lt;&gt;""), "р.", ""))</f>
        <v/>
      </c>
      <c r="Y62" s="70" t="str">
        <f aca="false">IF(AND(S62&gt;0,U62&gt;0), S62*ROUND(U62,0) / 1000, "")</f>
        <v/>
      </c>
      <c r="Z62" s="99" t="str">
        <f aca="false">IF(AND(Y62&lt;&gt;0,Y62&lt;&gt;""), "кг", "")</f>
        <v/>
      </c>
      <c r="AA62" s="10"/>
    </row>
    <row r="63" customFormat="false" ht="18.15" hidden="false" customHeight="true" outlineLevel="0" collapsed="false">
      <c r="B63" s="61"/>
      <c r="C63" s="62" t="str">
        <f aca="false">HYPERLINK("https://www.emi-penza.ru/p/64.3855-01", "64.3855-01")</f>
        <v>64.3855-01</v>
      </c>
      <c r="D63" s="63" t="s">
        <v>88</v>
      </c>
      <c r="E63" s="63"/>
      <c r="F63" s="63"/>
      <c r="G63" s="63" t="s">
        <v>89</v>
      </c>
      <c r="H63" s="63"/>
      <c r="I63" s="64"/>
      <c r="J63" s="64"/>
      <c r="K63" s="63" t="s">
        <v>87</v>
      </c>
      <c r="L63" s="63"/>
      <c r="M63" s="63"/>
      <c r="N63" s="65" t="n">
        <v>107</v>
      </c>
      <c r="O63" s="65" t="n">
        <f aca="false">ROUND(N63*1.2, 2)</f>
        <v>128.4</v>
      </c>
      <c r="R63" s="10"/>
      <c r="S63" s="66" t="n">
        <v>44</v>
      </c>
      <c r="T63" s="66"/>
      <c r="U63" s="67" t="n">
        <v>0</v>
      </c>
      <c r="V63" s="66"/>
      <c r="W63" s="72" t="str">
        <f aca="false">IF(OR(U63=0,N63=""), "", O63*ROUND(U63,0))</f>
        <v/>
      </c>
      <c r="X63" s="99" t="str">
        <f aca="false">IF(AND(N63="", U63&lt;&gt;""),"?",IF(AND(W63&lt;&gt;0,W63&lt;&gt;""), "р.", ""))</f>
        <v/>
      </c>
      <c r="Y63" s="70" t="str">
        <f aca="false">IF(AND(S63&gt;0,U63&gt;0), S63*ROUND(U63,0) / 1000, "")</f>
        <v/>
      </c>
      <c r="Z63" s="99" t="str">
        <f aca="false">IF(AND(Y63&lt;&gt;0,Y63&lt;&gt;""), "кг", "")</f>
        <v/>
      </c>
      <c r="AA63" s="10"/>
    </row>
    <row r="64" customFormat="false" ht="18.15" hidden="false" customHeight="true" outlineLevel="0" collapsed="false">
      <c r="B64" s="61"/>
      <c r="C64" s="62" t="str">
        <f aca="false">HYPERLINK("https://www.emi-penza.ru/p/64.3855-02", "64.3855-02")</f>
        <v>64.3855-02</v>
      </c>
      <c r="D64" s="63" t="s">
        <v>90</v>
      </c>
      <c r="E64" s="63"/>
      <c r="F64" s="63"/>
      <c r="G64" s="63" t="s">
        <v>91</v>
      </c>
      <c r="H64" s="63"/>
      <c r="I64" s="64"/>
      <c r="J64" s="64"/>
      <c r="K64" s="63" t="s">
        <v>92</v>
      </c>
      <c r="L64" s="63"/>
      <c r="M64" s="63"/>
      <c r="N64" s="65" t="n">
        <v>109</v>
      </c>
      <c r="O64" s="65" t="n">
        <f aca="false">ROUND(N64*1.2, 2)</f>
        <v>130.8</v>
      </c>
      <c r="R64" s="10"/>
      <c r="S64" s="66" t="n">
        <v>48</v>
      </c>
      <c r="T64" s="66"/>
      <c r="U64" s="67" t="n">
        <v>0</v>
      </c>
      <c r="V64" s="66"/>
      <c r="W64" s="72" t="str">
        <f aca="false">IF(OR(U64=0,N64=""), "", O64*ROUND(U64,0))</f>
        <v/>
      </c>
      <c r="X64" s="99" t="str">
        <f aca="false">IF(AND(N64="", U64&lt;&gt;""),"?",IF(AND(W64&lt;&gt;0,W64&lt;&gt;""), "р.", ""))</f>
        <v/>
      </c>
      <c r="Y64" s="70" t="str">
        <f aca="false">IF(AND(S64&gt;0,U64&gt;0), S64*ROUND(U64,0) / 1000, "")</f>
        <v/>
      </c>
      <c r="Z64" s="99" t="str">
        <f aca="false">IF(AND(Y64&lt;&gt;0,Y64&lt;&gt;""), "кг", "")</f>
        <v/>
      </c>
      <c r="AA64" s="10"/>
    </row>
    <row r="65" customFormat="false" ht="18.15" hidden="false" customHeight="true" outlineLevel="0" collapsed="false">
      <c r="B65" s="61"/>
      <c r="C65" s="62" t="str">
        <f aca="false">HYPERLINK("https://www.emi-penza.ru/p/64.3855-03", "64.3855-03")</f>
        <v>64.3855-03</v>
      </c>
      <c r="D65" s="63" t="s">
        <v>93</v>
      </c>
      <c r="E65" s="63"/>
      <c r="F65" s="63"/>
      <c r="G65" s="63" t="s">
        <v>94</v>
      </c>
      <c r="H65" s="63"/>
      <c r="I65" s="64"/>
      <c r="J65" s="64"/>
      <c r="K65" s="63" t="s">
        <v>95</v>
      </c>
      <c r="L65" s="63"/>
      <c r="M65" s="63"/>
      <c r="N65" s="65" t="n">
        <v>169</v>
      </c>
      <c r="O65" s="65" t="n">
        <f aca="false">ROUND(N65*1.2, 2)</f>
        <v>202.8</v>
      </c>
      <c r="R65" s="10"/>
      <c r="S65" s="66" t="n">
        <v>51</v>
      </c>
      <c r="T65" s="66"/>
      <c r="U65" s="67" t="n">
        <v>0</v>
      </c>
      <c r="V65" s="66"/>
      <c r="W65" s="72" t="str">
        <f aca="false">IF(OR(U65=0,N65=""), "", O65*ROUND(U65,0))</f>
        <v/>
      </c>
      <c r="X65" s="99" t="str">
        <f aca="false">IF(AND(N65="", U65&lt;&gt;""),"?",IF(AND(W65&lt;&gt;0,W65&lt;&gt;""), "р.", ""))</f>
        <v/>
      </c>
      <c r="Y65" s="70" t="str">
        <f aca="false">IF(AND(S65&gt;0,U65&gt;0), S65*ROUND(U65,0) / 1000, "")</f>
        <v/>
      </c>
      <c r="Z65" s="99" t="str">
        <f aca="false">IF(AND(Y65&lt;&gt;0,Y65&lt;&gt;""), "кг", "")</f>
        <v/>
      </c>
      <c r="AA65" s="10"/>
    </row>
    <row r="66" customFormat="false" ht="18.15" hidden="false" customHeight="true" outlineLevel="0" collapsed="false">
      <c r="B66" s="61"/>
      <c r="C66" s="62" t="str">
        <f aca="false">HYPERLINK("https://www.emi-penza.ru/p/64.3855-04", "64.3855-04")</f>
        <v>64.3855-04</v>
      </c>
      <c r="D66" s="63"/>
      <c r="E66" s="63"/>
      <c r="F66" s="63"/>
      <c r="G66" s="63" t="s">
        <v>96</v>
      </c>
      <c r="H66" s="63"/>
      <c r="I66" s="64"/>
      <c r="J66" s="64"/>
      <c r="K66" s="63"/>
      <c r="L66" s="63"/>
      <c r="M66" s="63"/>
      <c r="N66" s="126" t="s">
        <v>97</v>
      </c>
      <c r="O66" s="126"/>
      <c r="R66" s="10"/>
      <c r="S66" s="66"/>
      <c r="T66" s="66"/>
      <c r="U66" s="67"/>
      <c r="V66" s="66"/>
      <c r="W66" s="72"/>
      <c r="X66" s="99"/>
      <c r="Y66" s="70"/>
      <c r="Z66" s="99"/>
      <c r="AA66" s="10"/>
    </row>
    <row r="67" customFormat="false" ht="18.15" hidden="false" customHeight="true" outlineLevel="0" collapsed="false">
      <c r="B67" s="61"/>
      <c r="C67" s="127" t="str">
        <f aca="false">HYPERLINK("https://www.emi-penza.ru/p/4102.3847", "4102.3847")</f>
        <v>4102.3847</v>
      </c>
      <c r="D67" s="128" t="s">
        <v>98</v>
      </c>
      <c r="E67" s="128"/>
      <c r="F67" s="128"/>
      <c r="G67" s="128" t="s">
        <v>99</v>
      </c>
      <c r="H67" s="128"/>
      <c r="I67" s="129"/>
      <c r="J67" s="129"/>
      <c r="K67" s="128" t="s">
        <v>100</v>
      </c>
      <c r="L67" s="128"/>
      <c r="M67" s="128"/>
      <c r="N67" s="130" t="n">
        <v>193</v>
      </c>
      <c r="O67" s="130" t="n">
        <f aca="false">ROUND(N67*1.2, 2)</f>
        <v>231.6</v>
      </c>
      <c r="R67" s="10"/>
      <c r="S67" s="131" t="n">
        <v>22</v>
      </c>
      <c r="T67" s="131"/>
      <c r="U67" s="132" t="n">
        <v>0</v>
      </c>
      <c r="V67" s="131"/>
      <c r="W67" s="133" t="str">
        <f aca="false">IF(OR(U67=0,N67=""), "", O67*ROUND(U67,0))</f>
        <v/>
      </c>
      <c r="X67" s="134" t="str">
        <f aca="false">IF(AND(N67="", U67&lt;&gt;""),"?",IF(AND(W67&lt;&gt;0,W67&lt;&gt;""), "р.", ""))</f>
        <v/>
      </c>
      <c r="Y67" s="135" t="str">
        <f aca="false">IF(AND(S67&gt;0,U67&gt;0), S67*ROUND(U67,0) / 1000, "")</f>
        <v/>
      </c>
      <c r="Z67" s="134" t="str">
        <f aca="false">IF(AND(Y67&lt;&gt;0,Y67&lt;&gt;""), "кг", "")</f>
        <v/>
      </c>
      <c r="AA67" s="10"/>
    </row>
    <row r="68" customFormat="false" ht="9.95" hidden="false" customHeight="true" outlineLevel="0" collapsed="false">
      <c r="B68" s="3"/>
      <c r="R68" s="10"/>
      <c r="S68" s="136"/>
      <c r="T68" s="136"/>
      <c r="U68" s="137"/>
      <c r="V68" s="80"/>
      <c r="W68" s="80" t="str">
        <f aca="false">IF(OR(U68=0,N68=""), "", O68*ROUND(U68,0))</f>
        <v/>
      </c>
      <c r="X68" s="80" t="str">
        <f aca="false">IF(AND(N68="", U68&lt;&gt;""),"?",IF(AND(W68&lt;&gt;0,W68&lt;&gt;""), "р.", ""))</f>
        <v/>
      </c>
      <c r="Y68" s="80" t="str">
        <f aca="false">IF(AND(S68&gt;0,U68&gt;0), S68*ROUND(U68,0) / 1000, "")</f>
        <v/>
      </c>
      <c r="Z68" s="80" t="str">
        <f aca="false">IF(AND(Y68&lt;&gt;0,Y68&lt;&gt;""), "кг", "")</f>
        <v/>
      </c>
      <c r="AA68" s="80"/>
    </row>
    <row r="69" customFormat="false" ht="22.7" hidden="false" customHeight="true" outlineLevel="0" collapsed="false">
      <c r="B69" s="3"/>
      <c r="C69" s="51" t="s">
        <v>101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3"/>
      <c r="O69" s="53"/>
      <c r="R69" s="10"/>
      <c r="S69" s="138"/>
      <c r="T69" s="138"/>
      <c r="U69" s="139"/>
      <c r="V69" s="138"/>
      <c r="W69" s="140" t="str">
        <f aca="false">IF(OR(U69=0,N69=""), "", O69*ROUND(U69,0))</f>
        <v/>
      </c>
      <c r="X69" s="141" t="str">
        <f aca="false">IF(AND(N69="", U69&lt;&gt;""),"?",IF(AND(W69&lt;&gt;0,W69&lt;&gt;""), "р.", ""))</f>
        <v/>
      </c>
      <c r="Y69" s="142" t="str">
        <f aca="false">IF(AND(S69&gt;0,U69&gt;0), S69*ROUND(U69,0) / 1000, "")</f>
        <v/>
      </c>
      <c r="Z69" s="141" t="str">
        <f aca="false">IF(AND(Y69&lt;&gt;0,Y69&lt;&gt;""), "кг", "")</f>
        <v/>
      </c>
      <c r="AA69" s="10"/>
    </row>
    <row r="70" customFormat="false" ht="2.85" hidden="false" customHeight="true" outlineLevel="0" collapsed="false">
      <c r="B70" s="3"/>
      <c r="R70" s="10"/>
      <c r="S70" s="136"/>
      <c r="T70" s="136"/>
      <c r="U70" s="137"/>
      <c r="V70" s="136"/>
      <c r="W70" s="12" t="str">
        <f aca="false">IF(OR(U70=0,N70=""), "", O70*ROUND(U70,0))</f>
        <v/>
      </c>
      <c r="X70" s="143" t="str">
        <f aca="false">IF(AND(N70="", U70&lt;&gt;""),"?",IF(AND(W70&lt;&gt;0,W70&lt;&gt;""), "р.", ""))</f>
        <v/>
      </c>
      <c r="Y70" s="14" t="str">
        <f aca="false">IF(AND(S70&gt;0,U70&gt;0), S70*ROUND(U70,0) / 1000, "")</f>
        <v/>
      </c>
      <c r="Z70" s="143" t="str">
        <f aca="false">IF(AND(Y70&lt;&gt;0,Y70&lt;&gt;""), "кг", "")</f>
        <v/>
      </c>
      <c r="AA70" s="10"/>
    </row>
    <row r="71" customFormat="false" ht="18.15" hidden="false" customHeight="true" outlineLevel="0" collapsed="false">
      <c r="B71" s="61"/>
      <c r="C71" s="62" t="str">
        <f aca="false">HYPERLINK("https://www.emi-penza.ru/p/4102.3847-01", "4102.3847-01")</f>
        <v>4102.3847-01</v>
      </c>
      <c r="D71" s="63" t="s">
        <v>102</v>
      </c>
      <c r="E71" s="63"/>
      <c r="F71" s="63"/>
      <c r="G71" s="63" t="s">
        <v>103</v>
      </c>
      <c r="H71" s="63"/>
      <c r="I71" s="64"/>
      <c r="J71" s="64"/>
      <c r="K71" s="63" t="s">
        <v>104</v>
      </c>
      <c r="L71" s="63"/>
      <c r="M71" s="63"/>
      <c r="N71" s="65" t="n">
        <v>2869</v>
      </c>
      <c r="O71" s="65" t="n">
        <f aca="false">ROUND(N71*1.2, 2)</f>
        <v>3442.8</v>
      </c>
      <c r="R71" s="10"/>
      <c r="S71" s="66" t="n">
        <v>135</v>
      </c>
      <c r="T71" s="66"/>
      <c r="U71" s="67" t="n">
        <v>0</v>
      </c>
      <c r="V71" s="66"/>
      <c r="W71" s="72" t="str">
        <f aca="false">IF(OR(U71=0,N71=""), "", O71*ROUND(U71,0))</f>
        <v/>
      </c>
      <c r="X71" s="99" t="str">
        <f aca="false">IF(AND(N71="", U71&lt;&gt;""),"?",IF(AND(W71&lt;&gt;0,W71&lt;&gt;""), "р.", ""))</f>
        <v/>
      </c>
      <c r="Y71" s="70" t="str">
        <f aca="false">IF(AND(S71&gt;0,U71&gt;0), S71*ROUND(U71,0) / 1000, "")</f>
        <v/>
      </c>
      <c r="Z71" s="99" t="str">
        <f aca="false">IF(AND(Y71&lt;&gt;0,Y71&lt;&gt;""), "кг", "")</f>
        <v/>
      </c>
      <c r="AA71" s="10"/>
    </row>
    <row r="72" customFormat="false" ht="18.15" hidden="false" customHeight="true" outlineLevel="0" collapsed="false">
      <c r="B72" s="61"/>
      <c r="C72" s="62" t="str">
        <f aca="false">HYPERLINK("https://www.emi-penza.ru/p/4102.3847-02", "4102.3847-02")</f>
        <v>4102.3847-02</v>
      </c>
      <c r="D72" s="63" t="s">
        <v>105</v>
      </c>
      <c r="E72" s="63"/>
      <c r="F72" s="63"/>
      <c r="G72" s="63" t="s">
        <v>106</v>
      </c>
      <c r="H72" s="63"/>
      <c r="I72" s="64"/>
      <c r="J72" s="64"/>
      <c r="K72" s="63" t="s">
        <v>104</v>
      </c>
      <c r="L72" s="63"/>
      <c r="M72" s="63"/>
      <c r="N72" s="65" t="n">
        <v>2919</v>
      </c>
      <c r="O72" s="65" t="n">
        <f aca="false">ROUND(N72*1.2, 2)</f>
        <v>3502.8</v>
      </c>
      <c r="R72" s="10"/>
      <c r="S72" s="66" t="n">
        <v>125</v>
      </c>
      <c r="T72" s="66"/>
      <c r="U72" s="67" t="n">
        <v>0</v>
      </c>
      <c r="V72" s="66"/>
      <c r="W72" s="72" t="str">
        <f aca="false">IF(OR(U72=0,N72=""), "", O72*ROUND(U72,0))</f>
        <v/>
      </c>
      <c r="X72" s="99" t="str">
        <f aca="false">IF(AND(N72="", U72&lt;&gt;""),"?",IF(AND(W72&lt;&gt;0,W72&lt;&gt;""), "р.", ""))</f>
        <v/>
      </c>
      <c r="Y72" s="70" t="str">
        <f aca="false">IF(AND(S72&gt;0,U72&gt;0), S72*ROUND(U72,0) / 1000, "")</f>
        <v/>
      </c>
      <c r="Z72" s="99" t="str">
        <f aca="false">IF(AND(Y72&lt;&gt;0,Y72&lt;&gt;""), "кг", "")</f>
        <v/>
      </c>
      <c r="AA72" s="10"/>
    </row>
    <row r="73" customFormat="false" ht="18.15" hidden="false" customHeight="true" outlineLevel="0" collapsed="false">
      <c r="B73" s="61"/>
      <c r="C73" s="62" t="str">
        <f aca="false">HYPERLINK("https://www.emi-penza.ru/p/4102.3847-03", "4102.3847-03")</f>
        <v>4102.3847-03</v>
      </c>
      <c r="D73" s="63"/>
      <c r="E73" s="63"/>
      <c r="F73" s="63"/>
      <c r="G73" s="63" t="s">
        <v>107</v>
      </c>
      <c r="H73" s="63"/>
      <c r="I73" s="64"/>
      <c r="J73" s="64"/>
      <c r="K73" s="63" t="s">
        <v>104</v>
      </c>
      <c r="L73" s="63"/>
      <c r="M73" s="63"/>
      <c r="N73" s="65" t="n">
        <v>3017</v>
      </c>
      <c r="O73" s="65" t="n">
        <f aca="false">ROUND(N73*1.2, 2)</f>
        <v>3620.4</v>
      </c>
      <c r="R73" s="10"/>
      <c r="S73" s="66" t="n">
        <v>145</v>
      </c>
      <c r="T73" s="66"/>
      <c r="U73" s="67" t="n">
        <v>0</v>
      </c>
      <c r="V73" s="66"/>
      <c r="W73" s="72" t="str">
        <f aca="false">IF(OR(U73=0,N73=""), "", O73*ROUND(U73,0))</f>
        <v/>
      </c>
      <c r="X73" s="99" t="str">
        <f aca="false">IF(AND(N73="", U73&lt;&gt;""),"?",IF(AND(W73&lt;&gt;0,W73&lt;&gt;""), "р.", ""))</f>
        <v/>
      </c>
      <c r="Y73" s="70" t="str">
        <f aca="false">IF(AND(S73&gt;0,U73&gt;0), S73*ROUND(U73,0) / 1000, "")</f>
        <v/>
      </c>
      <c r="Z73" s="99" t="str">
        <f aca="false">IF(AND(Y73&lt;&gt;0,Y73&lt;&gt;""), "кг", "")</f>
        <v/>
      </c>
      <c r="AA73" s="10"/>
    </row>
    <row r="74" customFormat="false" ht="18.15" hidden="false" customHeight="true" outlineLevel="0" collapsed="false">
      <c r="B74" s="61"/>
      <c r="C74" s="62" t="str">
        <f aca="false">HYPERLINK("https://www.emi-penza.ru/p/4102.3847-05", "4102.3847-05")</f>
        <v>4102.3847-05</v>
      </c>
      <c r="D74" s="63" t="s">
        <v>108</v>
      </c>
      <c r="E74" s="63"/>
      <c r="F74" s="63"/>
      <c r="G74" s="63" t="s">
        <v>109</v>
      </c>
      <c r="H74" s="63"/>
      <c r="I74" s="64"/>
      <c r="J74" s="64"/>
      <c r="K74" s="63" t="s">
        <v>110</v>
      </c>
      <c r="L74" s="63"/>
      <c r="M74" s="63"/>
      <c r="N74" s="65" t="n">
        <v>2712</v>
      </c>
      <c r="O74" s="65" t="n">
        <f aca="false">ROUND(N74*1.2, 2)</f>
        <v>3254.4</v>
      </c>
      <c r="R74" s="10"/>
      <c r="S74" s="66" t="n">
        <v>100</v>
      </c>
      <c r="T74" s="66"/>
      <c r="U74" s="67" t="n">
        <v>0</v>
      </c>
      <c r="V74" s="66"/>
      <c r="W74" s="72" t="str">
        <f aca="false">IF(OR(U74=0,N74=""), "", O74*ROUND(U74,0))</f>
        <v/>
      </c>
      <c r="X74" s="99" t="str">
        <f aca="false">IF(AND(N74="", U74&lt;&gt;""),"?",IF(AND(W74&lt;&gt;0,W74&lt;&gt;""), "р.", ""))</f>
        <v/>
      </c>
      <c r="Y74" s="70" t="str">
        <f aca="false">IF(AND(S74&gt;0,U74&gt;0), S74*ROUND(U74,0) / 1000, "")</f>
        <v/>
      </c>
      <c r="Z74" s="99" t="str">
        <f aca="false">IF(AND(Y74&lt;&gt;0,Y74&lt;&gt;""), "кг", "")</f>
        <v/>
      </c>
      <c r="AA74" s="10"/>
    </row>
    <row r="75" customFormat="false" ht="18.15" hidden="false" customHeight="true" outlineLevel="0" collapsed="false">
      <c r="B75" s="61"/>
      <c r="C75" s="144" t="str">
        <f aca="false">HYPERLINK("https://www.emi-penza.ru/p/4102.3847-05_SO", "4102.3847-05 СЗ")</f>
        <v>4102.3847-05 СЗ</v>
      </c>
      <c r="D75" s="63"/>
      <c r="E75" s="63"/>
      <c r="F75" s="63"/>
      <c r="G75" s="63" t="s">
        <v>109</v>
      </c>
      <c r="H75" s="63"/>
      <c r="I75" s="64"/>
      <c r="J75" s="64"/>
      <c r="K75" s="63" t="s">
        <v>111</v>
      </c>
      <c r="L75" s="63"/>
      <c r="M75" s="63"/>
      <c r="N75" s="65" t="n">
        <v>1817</v>
      </c>
      <c r="O75" s="65" t="n">
        <f aca="false">ROUND(N75*1.2, 2)</f>
        <v>2180.4</v>
      </c>
      <c r="R75" s="10"/>
      <c r="S75" s="66" t="n">
        <v>100</v>
      </c>
      <c r="T75" s="66"/>
      <c r="U75" s="67" t="n">
        <v>0</v>
      </c>
      <c r="V75" s="66"/>
      <c r="W75" s="72" t="str">
        <f aca="false">IF(OR(U75=0,N75=""), "", O75*ROUND(U75,0))</f>
        <v/>
      </c>
      <c r="X75" s="99" t="str">
        <f aca="false">IF(AND(N75="", U75&lt;&gt;""),"?",IF(AND(W75&lt;&gt;0,W75&lt;&gt;""), "р.", ""))</f>
        <v/>
      </c>
      <c r="Y75" s="70" t="str">
        <f aca="false">IF(AND(S75&gt;0,U75&gt;0), S75*ROUND(U75,0) / 1000, "")</f>
        <v/>
      </c>
      <c r="Z75" s="99" t="str">
        <f aca="false">IF(AND(Y75&lt;&gt;0,Y75&lt;&gt;""), "кг", "")</f>
        <v/>
      </c>
      <c r="AA75" s="10"/>
    </row>
    <row r="76" customFormat="false" ht="13.6" hidden="false" customHeight="true" outlineLevel="0" collapsed="false">
      <c r="B76" s="73"/>
      <c r="C76" s="74" t="str">
        <f aca="false">HYPERLINK("https://www.emi-penza.ru/p/4102.3847-07", "4102.3847-07")</f>
        <v>4102.3847-07</v>
      </c>
      <c r="D76" s="75" t="s">
        <v>112</v>
      </c>
      <c r="E76" s="75"/>
      <c r="F76" s="75"/>
      <c r="G76" s="75" t="s">
        <v>113</v>
      </c>
      <c r="H76" s="75"/>
      <c r="I76" s="76"/>
      <c r="J76" s="76"/>
      <c r="K76" s="75" t="s">
        <v>46</v>
      </c>
      <c r="L76" s="75"/>
      <c r="M76" s="75"/>
      <c r="N76" s="77" t="n">
        <v>943</v>
      </c>
      <c r="O76" s="77" t="n">
        <f aca="false">ROUND(N76*1.2, 2)</f>
        <v>1131.6</v>
      </c>
      <c r="R76" s="10"/>
      <c r="S76" s="78" t="n">
        <v>115</v>
      </c>
      <c r="T76" s="78"/>
      <c r="U76" s="79" t="n">
        <v>0</v>
      </c>
      <c r="V76" s="78"/>
      <c r="W76" s="80" t="str">
        <f aca="false">IF(OR(U76=0,N76=""), "", O76*ROUND(U76,0))</f>
        <v/>
      </c>
      <c r="X76" s="100" t="str">
        <f aca="false">IF(AND(N76="", U76&lt;&gt;""),"?",IF(AND(W76&lt;&gt;0,W76&lt;&gt;""), "р.", ""))</f>
        <v/>
      </c>
      <c r="Y76" s="82" t="str">
        <f aca="false">IF(AND(S76&gt;0,U76&gt;0), S76*ROUND(U76,0) / 1000, "")</f>
        <v/>
      </c>
      <c r="Z76" s="100" t="str">
        <f aca="false">IF(AND(Y76&lt;&gt;0,Y76&lt;&gt;""), "кг", "")</f>
        <v/>
      </c>
      <c r="AA76" s="10"/>
    </row>
    <row r="77" customFormat="false" ht="15" hidden="false" customHeight="true" outlineLevel="0" collapsed="false">
      <c r="B77" s="84"/>
      <c r="C77" s="85"/>
      <c r="D77" s="86" t="s">
        <v>114</v>
      </c>
      <c r="E77" s="86"/>
      <c r="F77" s="86"/>
      <c r="G77" s="86"/>
      <c r="H77" s="86"/>
      <c r="I77" s="87"/>
      <c r="J77" s="87"/>
      <c r="K77" s="86"/>
      <c r="L77" s="86"/>
      <c r="M77" s="97"/>
      <c r="N77" s="88"/>
      <c r="O77" s="88"/>
      <c r="R77" s="10"/>
      <c r="S77" s="89"/>
      <c r="T77" s="89"/>
      <c r="U77" s="90"/>
      <c r="V77" s="89"/>
      <c r="W77" s="91"/>
      <c r="X77" s="101"/>
      <c r="Y77" s="93"/>
      <c r="Z77" s="101"/>
      <c r="AA77" s="10"/>
    </row>
    <row r="78" customFormat="false" ht="18.15" hidden="false" customHeight="true" outlineLevel="0" collapsed="false">
      <c r="B78" s="61"/>
      <c r="C78" s="145" t="str">
        <f aca="false">HYPERLINK("https://www.emi-penza.ru/p/4102.3847-14", "4102.3847-14")</f>
        <v>4102.3847-14</v>
      </c>
      <c r="D78" s="63"/>
      <c r="E78" s="63"/>
      <c r="F78" s="63"/>
      <c r="G78" s="63" t="s">
        <v>113</v>
      </c>
      <c r="H78" s="63"/>
      <c r="I78" s="64"/>
      <c r="J78" s="64"/>
      <c r="K78" s="63" t="s">
        <v>34</v>
      </c>
      <c r="L78" s="63"/>
      <c r="M78" s="63"/>
      <c r="N78" s="65" t="n">
        <v>1035</v>
      </c>
      <c r="O78" s="65" t="n">
        <f aca="false">ROUND(N78*1.2, 2)</f>
        <v>1242</v>
      </c>
      <c r="R78" s="10"/>
      <c r="S78" s="66" t="n">
        <v>124</v>
      </c>
      <c r="T78" s="66"/>
      <c r="U78" s="67" t="n">
        <v>0</v>
      </c>
      <c r="V78" s="66"/>
      <c r="W78" s="72" t="str">
        <f aca="false">IF(OR(U78=0,N78=""), "", O78*ROUND(U78,0))</f>
        <v/>
      </c>
      <c r="X78" s="99" t="str">
        <f aca="false">IF(AND(N78="", U78&lt;&gt;""),"?",IF(AND(W78&lt;&gt;0,W78&lt;&gt;""), "р.", ""))</f>
        <v/>
      </c>
      <c r="Y78" s="70" t="str">
        <f aca="false">IF(AND(S78&gt;0,U78&gt;0), S78*ROUND(U78,0) / 1000, "")</f>
        <v/>
      </c>
      <c r="Z78" s="99" t="str">
        <f aca="false">IF(AND(Y78&lt;&gt;0,Y78&lt;&gt;""), "кг", "")</f>
        <v/>
      </c>
      <c r="AA78" s="10"/>
    </row>
    <row r="79" customFormat="false" ht="18.15" hidden="false" customHeight="true" outlineLevel="0" collapsed="false">
      <c r="B79" s="61"/>
      <c r="C79" s="62" t="str">
        <f aca="false">HYPERLINK("https://www.emi-penza.ru/p/4102.3847-15", "4102.3847-15")</f>
        <v>4102.3847-15</v>
      </c>
      <c r="D79" s="63" t="s">
        <v>115</v>
      </c>
      <c r="E79" s="63"/>
      <c r="F79" s="63"/>
      <c r="G79" s="63" t="s">
        <v>113</v>
      </c>
      <c r="H79" s="63"/>
      <c r="I79" s="64"/>
      <c r="J79" s="64"/>
      <c r="K79" s="63" t="s">
        <v>116</v>
      </c>
      <c r="L79" s="63"/>
      <c r="M79" s="63"/>
      <c r="N79" s="65" t="n">
        <v>931</v>
      </c>
      <c r="O79" s="65" t="n">
        <f aca="false">ROUND(N79*1.2, 2)</f>
        <v>1117.2</v>
      </c>
      <c r="R79" s="10"/>
      <c r="S79" s="66" t="n">
        <v>96</v>
      </c>
      <c r="T79" s="66"/>
      <c r="U79" s="67" t="n">
        <v>0</v>
      </c>
      <c r="V79" s="66"/>
      <c r="W79" s="72" t="str">
        <f aca="false">IF(OR(U79=0,N79=""), "", O79*ROUND(U79,0))</f>
        <v/>
      </c>
      <c r="X79" s="99" t="str">
        <f aca="false">IF(AND(N79="", U79&lt;&gt;""),"?",IF(AND(W79&lt;&gt;0,W79&lt;&gt;""), "р.", ""))</f>
        <v/>
      </c>
      <c r="Y79" s="70" t="str">
        <f aca="false">IF(AND(S79&gt;0,U79&gt;0), S79*ROUND(U79,0) / 1000, "")</f>
        <v/>
      </c>
      <c r="Z79" s="99" t="str">
        <f aca="false">IF(AND(Y79&lt;&gt;0,Y79&lt;&gt;""), "кг", "")</f>
        <v/>
      </c>
      <c r="AA79" s="10"/>
    </row>
    <row r="80" customFormat="false" ht="18.15" hidden="false" customHeight="true" outlineLevel="0" collapsed="false">
      <c r="B80" s="61"/>
      <c r="C80" s="62" t="str">
        <f aca="false">HYPERLINK("https://www.emi-penza.ru/p/4102.3847-16", "4102.3847-16")</f>
        <v>4102.3847-16</v>
      </c>
      <c r="D80" s="63" t="s">
        <v>117</v>
      </c>
      <c r="E80" s="63"/>
      <c r="F80" s="63"/>
      <c r="G80" s="63" t="s">
        <v>113</v>
      </c>
      <c r="H80" s="63"/>
      <c r="I80" s="64"/>
      <c r="J80" s="64"/>
      <c r="K80" s="63" t="s">
        <v>116</v>
      </c>
      <c r="L80" s="63"/>
      <c r="M80" s="63"/>
      <c r="N80" s="65" t="n">
        <v>957</v>
      </c>
      <c r="O80" s="65" t="n">
        <f aca="false">ROUND(N80*1.2, 2)</f>
        <v>1148.4</v>
      </c>
      <c r="R80" s="10"/>
      <c r="S80" s="66" t="n">
        <v>115</v>
      </c>
      <c r="T80" s="66"/>
      <c r="U80" s="67" t="n">
        <v>0</v>
      </c>
      <c r="V80" s="66"/>
      <c r="W80" s="72" t="str">
        <f aca="false">IF(OR(U80=0,N80=""), "", O80*ROUND(U80,0))</f>
        <v/>
      </c>
      <c r="X80" s="99" t="str">
        <f aca="false">IF(AND(N80="", U80&lt;&gt;""),"?",IF(AND(W80&lt;&gt;0,W80&lt;&gt;""), "р.", ""))</f>
        <v/>
      </c>
      <c r="Y80" s="70" t="str">
        <f aca="false">IF(AND(S80&gt;0,U80&gt;0), S80*ROUND(U80,0) / 1000, "")</f>
        <v/>
      </c>
      <c r="Z80" s="99" t="str">
        <f aca="false">IF(AND(Y80&lt;&gt;0,Y80&lt;&gt;""), "кг", "")</f>
        <v/>
      </c>
      <c r="AA80" s="10"/>
    </row>
    <row r="81" customFormat="false" ht="18.15" hidden="false" customHeight="true" outlineLevel="0" collapsed="false">
      <c r="B81" s="61"/>
      <c r="C81" s="62" t="str">
        <f aca="false">HYPERLINK("https://www.emi-penza.ru/p/4102.3847-17", "4102.3847-17")</f>
        <v>4102.3847-17</v>
      </c>
      <c r="D81" s="63" t="s">
        <v>118</v>
      </c>
      <c r="E81" s="63"/>
      <c r="F81" s="63"/>
      <c r="G81" s="63" t="s">
        <v>113</v>
      </c>
      <c r="H81" s="63"/>
      <c r="I81" s="64"/>
      <c r="J81" s="64"/>
      <c r="K81" s="63" t="s">
        <v>116</v>
      </c>
      <c r="L81" s="63"/>
      <c r="M81" s="63"/>
      <c r="N81" s="65" t="n">
        <v>1039</v>
      </c>
      <c r="O81" s="65" t="n">
        <f aca="false">ROUND(N81*1.2, 2)</f>
        <v>1246.8</v>
      </c>
      <c r="R81" s="10"/>
      <c r="S81" s="66" t="n">
        <v>114</v>
      </c>
      <c r="T81" s="66"/>
      <c r="U81" s="67" t="n">
        <v>0</v>
      </c>
      <c r="V81" s="66"/>
      <c r="W81" s="72" t="str">
        <f aca="false">IF(OR(U81=0,N81=""), "", O81*ROUND(U81,0))</f>
        <v/>
      </c>
      <c r="X81" s="99" t="str">
        <f aca="false">IF(AND(N81="", U81&lt;&gt;""),"?",IF(AND(W81&lt;&gt;0,W81&lt;&gt;""), "р.", ""))</f>
        <v/>
      </c>
      <c r="Y81" s="70" t="str">
        <f aca="false">IF(AND(S81&gt;0,U81&gt;0), S81*ROUND(U81,0) / 1000, "")</f>
        <v/>
      </c>
      <c r="Z81" s="99" t="str">
        <f aca="false">IF(AND(Y81&lt;&gt;0,Y81&lt;&gt;""), "кг", "")</f>
        <v/>
      </c>
      <c r="AA81" s="10"/>
    </row>
    <row r="82" customFormat="false" ht="18.15" hidden="false" customHeight="true" outlineLevel="0" collapsed="false">
      <c r="B82" s="61"/>
      <c r="C82" s="127" t="str">
        <f aca="false">HYPERLINK("https://www.emi-penza.ru/p/4102.3847-19", "4102.3847-19")</f>
        <v>4102.3847-19</v>
      </c>
      <c r="D82" s="146" t="s">
        <v>119</v>
      </c>
      <c r="E82" s="128"/>
      <c r="F82" s="128"/>
      <c r="G82" s="128" t="s">
        <v>113</v>
      </c>
      <c r="H82" s="128"/>
      <c r="I82" s="129"/>
      <c r="J82" s="129"/>
      <c r="K82" s="128" t="s">
        <v>116</v>
      </c>
      <c r="L82" s="128"/>
      <c r="M82" s="128"/>
      <c r="N82" s="130" t="n">
        <v>1133</v>
      </c>
      <c r="O82" s="130" t="n">
        <f aca="false">ROUND(N82*1.2, 2)</f>
        <v>1359.6</v>
      </c>
      <c r="R82" s="10"/>
      <c r="S82" s="131" t="n">
        <v>175</v>
      </c>
      <c r="T82" s="131"/>
      <c r="U82" s="132" t="n">
        <v>0</v>
      </c>
      <c r="V82" s="131"/>
      <c r="W82" s="133" t="str">
        <f aca="false">IF(OR(U82=0,N82=""), "", O82*ROUND(U82,0))</f>
        <v/>
      </c>
      <c r="X82" s="134" t="str">
        <f aca="false">IF(AND(N82="", U82&lt;&gt;""),"?",IF(AND(W82&lt;&gt;0,W82&lt;&gt;""), "р.", ""))</f>
        <v/>
      </c>
      <c r="Y82" s="135" t="str">
        <f aca="false">IF(AND(S82&gt;0,U82&gt;0), S82*ROUND(U82,0) / 1000, "")</f>
        <v/>
      </c>
      <c r="Z82" s="134" t="str">
        <f aca="false">IF(AND(Y82&lt;&gt;0,Y82&lt;&gt;""), "кг", "")</f>
        <v/>
      </c>
      <c r="AA82" s="10"/>
    </row>
    <row r="83" customFormat="false" ht="9.95" hidden="false" customHeight="true" outlineLevel="0" collapsed="false">
      <c r="B83" s="3"/>
      <c r="R83" s="10"/>
      <c r="S83" s="136"/>
      <c r="T83" s="136"/>
      <c r="U83" s="137"/>
      <c r="V83" s="80"/>
      <c r="W83" s="80" t="str">
        <f aca="false">IF(OR(U83=0,N83=""), "", O83*ROUND(U83,0))</f>
        <v/>
      </c>
      <c r="X83" s="80" t="str">
        <f aca="false">IF(AND(N83="", U83&lt;&gt;""),"?",IF(AND(W83&lt;&gt;0,W83&lt;&gt;""), "р.", ""))</f>
        <v/>
      </c>
      <c r="Y83" s="80" t="str">
        <f aca="false">IF(AND(S83&gt;0,U83&gt;0), S83*ROUND(U83,0) / 1000, "")</f>
        <v/>
      </c>
      <c r="Z83" s="80" t="str">
        <f aca="false">IF(AND(Y83&lt;&gt;0,Y83&lt;&gt;""), "кг", "")</f>
        <v/>
      </c>
      <c r="AA83" s="80"/>
    </row>
    <row r="84" customFormat="false" ht="22.7" hidden="false" customHeight="true" outlineLevel="0" collapsed="false">
      <c r="B84" s="3"/>
      <c r="C84" s="51" t="s">
        <v>120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3"/>
      <c r="O84" s="53"/>
      <c r="R84" s="10"/>
      <c r="S84" s="138"/>
      <c r="T84" s="138"/>
      <c r="U84" s="139"/>
      <c r="V84" s="138"/>
      <c r="W84" s="140" t="str">
        <f aca="false">IF(OR(U84=0,N84=""), "", O84*ROUND(U84,0))</f>
        <v/>
      </c>
      <c r="X84" s="141" t="str">
        <f aca="false">IF(AND(N84="", U84&lt;&gt;""),"?",IF(AND(W84&lt;&gt;0,W84&lt;&gt;""), "р.", ""))</f>
        <v/>
      </c>
      <c r="Y84" s="142" t="str">
        <f aca="false">IF(AND(S84&gt;0,U84&gt;0), S84*ROUND(U84,0) / 1000, "")</f>
        <v/>
      </c>
      <c r="Z84" s="141" t="str">
        <f aca="false">IF(AND(Y84&lt;&gt;0,Y84&lt;&gt;""), "кг", "")</f>
        <v/>
      </c>
      <c r="AA84" s="10"/>
    </row>
    <row r="85" customFormat="false" ht="2.85" hidden="false" customHeight="true" outlineLevel="0" collapsed="false">
      <c r="B85" s="3"/>
      <c r="R85" s="10"/>
      <c r="S85" s="136"/>
      <c r="T85" s="136"/>
      <c r="U85" s="137"/>
      <c r="V85" s="136"/>
      <c r="W85" s="12" t="str">
        <f aca="false">IF(OR(U85=0,N85=""), "", O85*ROUND(U85,0))</f>
        <v/>
      </c>
      <c r="X85" s="143" t="str">
        <f aca="false">IF(AND(N85="", U85&lt;&gt;""),"?",IF(AND(W85&lt;&gt;0,W85&lt;&gt;""), "р.", ""))</f>
        <v/>
      </c>
      <c r="Y85" s="14" t="str">
        <f aca="false">IF(AND(S85&gt;0,U85&gt;0), S85*ROUND(U85,0) / 1000, "")</f>
        <v/>
      </c>
      <c r="Z85" s="143" t="str">
        <f aca="false">IF(AND(Y85&lt;&gt;0,Y85&lt;&gt;""), "кг", "")</f>
        <v/>
      </c>
      <c r="AA85" s="10"/>
    </row>
    <row r="86" customFormat="false" ht="13.3" hidden="false" customHeight="true" outlineLevel="0" collapsed="false">
      <c r="B86" s="59" t="s">
        <v>20</v>
      </c>
      <c r="C86" s="60" t="s">
        <v>21</v>
      </c>
      <c r="R86" s="10"/>
      <c r="S86" s="10"/>
      <c r="T86" s="10"/>
      <c r="U86" s="11"/>
      <c r="V86" s="10"/>
      <c r="W86" s="12" t="str">
        <f aca="false">IF(OR(U86=0,N86=""), "", O86*ROUND(U86,0))</f>
        <v/>
      </c>
      <c r="X86" s="13" t="str">
        <f aca="false">IF(AND(N86="", U86&lt;&gt;""),"?",IF(AND(W86&lt;&gt;0,W86&lt;&gt;""), "р.", ""))</f>
        <v/>
      </c>
      <c r="Y86" s="14" t="str">
        <f aca="false">IF(AND(S86&gt;0,U86&gt;0), S86*ROUND(U86,0) / 1000, "")</f>
        <v/>
      </c>
      <c r="Z86" s="15" t="str">
        <f aca="false">IF(AND(Y86&lt;&gt;0,Y86&lt;&gt;""), "кг", "")</f>
        <v/>
      </c>
      <c r="AA86" s="10"/>
    </row>
    <row r="87" customFormat="false" ht="18.15" hidden="false" customHeight="true" outlineLevel="0" collapsed="false">
      <c r="B87" s="61"/>
      <c r="C87" s="62" t="str">
        <f aca="false">HYPERLINK("http://www.emi-penza.ru/p/109/", "19.3720")</f>
        <v>19.3720</v>
      </c>
      <c r="D87" s="63" t="s">
        <v>121</v>
      </c>
      <c r="E87" s="63"/>
      <c r="F87" s="63"/>
      <c r="G87" s="63" t="s">
        <v>122</v>
      </c>
      <c r="H87" s="63"/>
      <c r="I87" s="64"/>
      <c r="J87" s="64"/>
      <c r="K87" s="63" t="s">
        <v>123</v>
      </c>
      <c r="L87" s="63"/>
      <c r="M87" s="63"/>
      <c r="N87" s="65" t="n">
        <v>57</v>
      </c>
      <c r="O87" s="65" t="n">
        <f aca="false">ROUND(N87*1.2, 2)</f>
        <v>68.4</v>
      </c>
      <c r="R87" s="10"/>
      <c r="S87" s="66" t="n">
        <v>17</v>
      </c>
      <c r="T87" s="66"/>
      <c r="U87" s="67" t="n">
        <v>0</v>
      </c>
      <c r="V87" s="66"/>
      <c r="W87" s="72" t="str">
        <f aca="false">IF(OR(U87=0,N87=""), "", O87*ROUND(U87,0))</f>
        <v/>
      </c>
      <c r="X87" s="99" t="str">
        <f aca="false">IF(AND(N87="", U87&lt;&gt;""),"?",IF(AND(W87&lt;&gt;0,W87&lt;&gt;""), "р.", ""))</f>
        <v/>
      </c>
      <c r="Y87" s="70" t="str">
        <f aca="false">IF(AND(S87&gt;0,U87&gt;0), S87*ROUND(U87,0) / 1000, "")</f>
        <v/>
      </c>
      <c r="Z87" s="99" t="str">
        <f aca="false">IF(AND(Y87&lt;&gt;0,Y87&lt;&gt;""), "кг", "")</f>
        <v/>
      </c>
      <c r="AA87" s="10"/>
    </row>
    <row r="88" customFormat="false" ht="18.15" hidden="false" customHeight="true" outlineLevel="0" collapsed="false">
      <c r="B88" s="61"/>
      <c r="C88" s="62" t="str">
        <f aca="false">HYPERLINK("http://www.emi-penza.ru/p/110/", "20.3720")</f>
        <v>20.3720</v>
      </c>
      <c r="D88" s="63" t="s">
        <v>124</v>
      </c>
      <c r="E88" s="63"/>
      <c r="F88" s="63"/>
      <c r="G88" s="63" t="s">
        <v>122</v>
      </c>
      <c r="H88" s="63"/>
      <c r="I88" s="64"/>
      <c r="J88" s="64"/>
      <c r="K88" s="63" t="s">
        <v>37</v>
      </c>
      <c r="L88" s="63"/>
      <c r="M88" s="63"/>
      <c r="N88" s="65" t="n">
        <v>57</v>
      </c>
      <c r="O88" s="65" t="n">
        <f aca="false">ROUND(N88*1.2, 2)</f>
        <v>68.4</v>
      </c>
      <c r="R88" s="10"/>
      <c r="S88" s="66" t="n">
        <v>15</v>
      </c>
      <c r="T88" s="66"/>
      <c r="U88" s="67" t="n">
        <v>0</v>
      </c>
      <c r="V88" s="66"/>
      <c r="W88" s="72" t="str">
        <f aca="false">IF(OR(U88=0,N88=""), "", O88*ROUND(U88,0))</f>
        <v/>
      </c>
      <c r="X88" s="99" t="str">
        <f aca="false">IF(AND(N88="", U88&lt;&gt;""),"?",IF(AND(W88&lt;&gt;0,W88&lt;&gt;""), "р.", ""))</f>
        <v/>
      </c>
      <c r="Y88" s="70" t="str">
        <f aca="false">IF(AND(S88&gt;0,U88&gt;0), S88*ROUND(U88,0) / 1000, "")</f>
        <v/>
      </c>
      <c r="Z88" s="99" t="str">
        <f aca="false">IF(AND(Y88&lt;&gt;0,Y88&lt;&gt;""), "кг", "")</f>
        <v/>
      </c>
      <c r="AA88" s="10"/>
    </row>
    <row r="89" customFormat="false" ht="18.15" hidden="false" customHeight="true" outlineLevel="0" collapsed="false">
      <c r="B89" s="61"/>
      <c r="C89" s="62" t="str">
        <f aca="false">HYPERLINK("http://www.emi-penza.ru/p/168/", "20.3720-01")</f>
        <v>20.3720-01</v>
      </c>
      <c r="D89" s="63"/>
      <c r="E89" s="63"/>
      <c r="F89" s="63"/>
      <c r="G89" s="63" t="s">
        <v>125</v>
      </c>
      <c r="H89" s="63"/>
      <c r="I89" s="64"/>
      <c r="J89" s="64"/>
      <c r="K89" s="63" t="s">
        <v>126</v>
      </c>
      <c r="L89" s="63"/>
      <c r="M89" s="63"/>
      <c r="N89" s="65" t="n">
        <v>62</v>
      </c>
      <c r="O89" s="65" t="n">
        <f aca="false">ROUND(N89*1.2, 2)</f>
        <v>74.4</v>
      </c>
      <c r="R89" s="10"/>
      <c r="S89" s="66" t="n">
        <v>17</v>
      </c>
      <c r="T89" s="66"/>
      <c r="U89" s="67" t="n">
        <v>0</v>
      </c>
      <c r="V89" s="66"/>
      <c r="W89" s="72" t="str">
        <f aca="false">IF(OR(U89=0,N89=""), "", O89*ROUND(U89,0))</f>
        <v/>
      </c>
      <c r="X89" s="99" t="str">
        <f aca="false">IF(AND(N89="", U89&lt;&gt;""),"?",IF(AND(W89&lt;&gt;0,W89&lt;&gt;""), "р.", ""))</f>
        <v/>
      </c>
      <c r="Y89" s="70" t="str">
        <f aca="false">IF(AND(S89&gt;0,U89&gt;0), S89*ROUND(U89,0) / 1000, "")</f>
        <v/>
      </c>
      <c r="Z89" s="99" t="str">
        <f aca="false">IF(AND(Y89&lt;&gt;0,Y89&lt;&gt;""), "кг", "")</f>
        <v/>
      </c>
      <c r="AA89" s="10"/>
    </row>
    <row r="90" customFormat="false" ht="18.15" hidden="false" customHeight="true" outlineLevel="0" collapsed="false">
      <c r="B90" s="61" t="s">
        <v>20</v>
      </c>
      <c r="C90" s="62" t="str">
        <f aca="false">HYPERLINK("http://www.emi-penza.ru/p/20.3720-02", "20.3720-02")</f>
        <v>20.3720-02</v>
      </c>
      <c r="D90" s="63"/>
      <c r="E90" s="63"/>
      <c r="F90" s="63"/>
      <c r="G90" s="63" t="s">
        <v>125</v>
      </c>
      <c r="H90" s="63"/>
      <c r="I90" s="64"/>
      <c r="J90" s="64"/>
      <c r="K90" s="63" t="s">
        <v>127</v>
      </c>
      <c r="L90" s="63"/>
      <c r="M90" s="63"/>
      <c r="N90" s="65" t="n">
        <v>65</v>
      </c>
      <c r="O90" s="65" t="n">
        <f aca="false">ROUND(N90*1.2, 2)</f>
        <v>78</v>
      </c>
      <c r="R90" s="10"/>
      <c r="S90" s="66" t="n">
        <v>17</v>
      </c>
      <c r="T90" s="66"/>
      <c r="U90" s="67" t="n">
        <v>0</v>
      </c>
      <c r="V90" s="66"/>
      <c r="W90" s="72" t="str">
        <f aca="false">IF(OR(U90=0,N90=""), "", O90*ROUND(U90,0))</f>
        <v/>
      </c>
      <c r="X90" s="99" t="str">
        <f aca="false">IF(AND(N90="", U90&lt;&gt;""),"?",IF(AND(W90&lt;&gt;0,W90&lt;&gt;""), "р.", ""))</f>
        <v/>
      </c>
      <c r="Y90" s="70" t="str">
        <f aca="false">IF(AND(S90&gt;0,U90&gt;0), S90*ROUND(U90,0) / 1000, "")</f>
        <v/>
      </c>
      <c r="Z90" s="99" t="str">
        <f aca="false">IF(AND(Y90&lt;&gt;0,Y90&lt;&gt;""), "кг", "")</f>
        <v/>
      </c>
      <c r="AA90" s="10"/>
    </row>
    <row r="91" customFormat="false" ht="18.15" hidden="false" customHeight="true" outlineLevel="0" collapsed="false">
      <c r="B91" s="61" t="s">
        <v>20</v>
      </c>
      <c r="C91" s="62" t="str">
        <f aca="false">HYPERLINK("http://www.emi-penza.ru/p/20.3720-03", "20.3720-03")</f>
        <v>20.3720-03</v>
      </c>
      <c r="D91" s="63"/>
      <c r="E91" s="63"/>
      <c r="F91" s="63"/>
      <c r="G91" s="63" t="s">
        <v>128</v>
      </c>
      <c r="H91" s="63"/>
      <c r="I91" s="64"/>
      <c r="J91" s="64"/>
      <c r="K91" s="63" t="s">
        <v>116</v>
      </c>
      <c r="L91" s="63"/>
      <c r="M91" s="63"/>
      <c r="N91" s="65" t="n">
        <v>197</v>
      </c>
      <c r="O91" s="65" t="n">
        <f aca="false">ROUND(N91*1.2, 2)</f>
        <v>236.4</v>
      </c>
      <c r="R91" s="10"/>
      <c r="S91" s="66" t="n">
        <v>22</v>
      </c>
      <c r="T91" s="66"/>
      <c r="U91" s="67" t="n">
        <v>0</v>
      </c>
      <c r="V91" s="66"/>
      <c r="W91" s="72" t="str">
        <f aca="false">IF(OR(U91=0,N91=""), "", O91*ROUND(U91,0))</f>
        <v/>
      </c>
      <c r="X91" s="99" t="str">
        <f aca="false">IF(AND(N91="", U91&lt;&gt;""),"?",IF(AND(W91&lt;&gt;0,W91&lt;&gt;""), "р.", ""))</f>
        <v/>
      </c>
      <c r="Y91" s="70" t="str">
        <f aca="false">IF(AND(S91&gt;0,U91&gt;0), S91*ROUND(U91,0) / 1000, "")</f>
        <v/>
      </c>
      <c r="Z91" s="99" t="str">
        <f aca="false">IF(AND(Y91&lt;&gt;0,Y91&lt;&gt;""), "кг", "")</f>
        <v/>
      </c>
      <c r="AA91" s="10"/>
    </row>
    <row r="92" customFormat="false" ht="18.15" hidden="false" customHeight="true" outlineLevel="0" collapsed="false">
      <c r="B92" s="61"/>
      <c r="C92" s="62" t="str">
        <f aca="false">HYPERLINK("http://www.emi-penza.ru/p/130/", "25.3720")</f>
        <v>25.3720</v>
      </c>
      <c r="D92" s="63" t="s">
        <v>129</v>
      </c>
      <c r="E92" s="63"/>
      <c r="F92" s="63"/>
      <c r="G92" s="63" t="s">
        <v>122</v>
      </c>
      <c r="H92" s="63"/>
      <c r="I92" s="64"/>
      <c r="J92" s="64"/>
      <c r="K92" s="63" t="s">
        <v>130</v>
      </c>
      <c r="L92" s="63"/>
      <c r="M92" s="63"/>
      <c r="N92" s="65" t="n">
        <v>88</v>
      </c>
      <c r="O92" s="65" t="n">
        <f aca="false">ROUND(N92*1.2, 2)</f>
        <v>105.6</v>
      </c>
      <c r="R92" s="10"/>
      <c r="S92" s="66" t="n">
        <v>19</v>
      </c>
      <c r="T92" s="66"/>
      <c r="U92" s="67" t="n">
        <v>0</v>
      </c>
      <c r="V92" s="66"/>
      <c r="W92" s="72" t="str">
        <f aca="false">IF(OR(U92=0,N92=""), "", O92*ROUND(U92,0))</f>
        <v/>
      </c>
      <c r="X92" s="99" t="str">
        <f aca="false">IF(AND(N92="", U92&lt;&gt;""),"?",IF(AND(W92&lt;&gt;0,W92&lt;&gt;""), "р.", ""))</f>
        <v/>
      </c>
      <c r="Y92" s="70" t="str">
        <f aca="false">IF(AND(S92&gt;0,U92&gt;0), S92*ROUND(U92,0) / 1000, "")</f>
        <v/>
      </c>
      <c r="Z92" s="99" t="str">
        <f aca="false">IF(AND(Y92&lt;&gt;0,Y92&lt;&gt;""), "кг", "")</f>
        <v/>
      </c>
      <c r="AA92" s="10"/>
    </row>
    <row r="93" customFormat="false" ht="18.15" hidden="false" customHeight="true" outlineLevel="0" collapsed="false">
      <c r="B93" s="61"/>
      <c r="C93" s="62" t="str">
        <f aca="false">HYPERLINK("http://www.emi-penza.ru/p/131/", "25.3720-01")</f>
        <v>25.3720-01</v>
      </c>
      <c r="D93" s="63" t="s">
        <v>131</v>
      </c>
      <c r="E93" s="63"/>
      <c r="F93" s="63"/>
      <c r="G93" s="63" t="s">
        <v>122</v>
      </c>
      <c r="H93" s="63"/>
      <c r="I93" s="64"/>
      <c r="J93" s="64"/>
      <c r="K93" s="63" t="s">
        <v>132</v>
      </c>
      <c r="L93" s="63"/>
      <c r="M93" s="63"/>
      <c r="N93" s="65" t="n">
        <v>93</v>
      </c>
      <c r="O93" s="65" t="n">
        <f aca="false">ROUND(N93*1.2, 2)</f>
        <v>111.6</v>
      </c>
      <c r="R93" s="10"/>
      <c r="S93" s="66" t="n">
        <v>21</v>
      </c>
      <c r="T93" s="66"/>
      <c r="U93" s="67" t="n">
        <v>0</v>
      </c>
      <c r="V93" s="66"/>
      <c r="W93" s="72" t="str">
        <f aca="false">IF(OR(U93=0,N93=""), "", O93*ROUND(U93,0))</f>
        <v/>
      </c>
      <c r="X93" s="99" t="str">
        <f aca="false">IF(AND(N93="", U93&lt;&gt;""),"?",IF(AND(W93&lt;&gt;0,W93&lt;&gt;""), "р.", ""))</f>
        <v/>
      </c>
      <c r="Y93" s="70" t="str">
        <f aca="false">IF(AND(S93&gt;0,U93&gt;0), S93*ROUND(U93,0) / 1000, "")</f>
        <v/>
      </c>
      <c r="Z93" s="99" t="str">
        <f aca="false">IF(AND(Y93&lt;&gt;0,Y93&lt;&gt;""), "кг", "")</f>
        <v/>
      </c>
      <c r="AA93" s="10"/>
    </row>
    <row r="94" customFormat="false" ht="18.15" hidden="false" customHeight="true" outlineLevel="0" collapsed="false">
      <c r="B94" s="61"/>
      <c r="C94" s="62" t="str">
        <f aca="false">HYPERLINK("http://www.emi-penza.ru/p/132/", "25.3720-02")</f>
        <v>25.3720-02</v>
      </c>
      <c r="D94" s="63" t="s">
        <v>133</v>
      </c>
      <c r="E94" s="63"/>
      <c r="F94" s="63"/>
      <c r="G94" s="63" t="s">
        <v>134</v>
      </c>
      <c r="H94" s="63"/>
      <c r="I94" s="64"/>
      <c r="J94" s="64"/>
      <c r="K94" s="63" t="s">
        <v>132</v>
      </c>
      <c r="L94" s="63"/>
      <c r="M94" s="63"/>
      <c r="N94" s="65" t="n">
        <v>88</v>
      </c>
      <c r="O94" s="65" t="n">
        <f aca="false">ROUND(N94*1.2, 2)</f>
        <v>105.6</v>
      </c>
      <c r="R94" s="10"/>
      <c r="S94" s="66" t="n">
        <v>20</v>
      </c>
      <c r="T94" s="66"/>
      <c r="U94" s="67" t="n">
        <v>0</v>
      </c>
      <c r="V94" s="66"/>
      <c r="W94" s="72" t="str">
        <f aca="false">IF(OR(U94=0,N94=""), "", O94*ROUND(U94,0))</f>
        <v/>
      </c>
      <c r="X94" s="99" t="str">
        <f aca="false">IF(AND(N94="", U94&lt;&gt;""),"?",IF(AND(W94&lt;&gt;0,W94&lt;&gt;""), "р.", ""))</f>
        <v/>
      </c>
      <c r="Y94" s="70" t="str">
        <f aca="false">IF(AND(S94&gt;0,U94&gt;0), S94*ROUND(U94,0) / 1000, "")</f>
        <v/>
      </c>
      <c r="Z94" s="99" t="str">
        <f aca="false">IF(AND(Y94&lt;&gt;0,Y94&lt;&gt;""), "кг", "")</f>
        <v/>
      </c>
      <c r="AA94" s="10"/>
    </row>
    <row r="95" customFormat="false" ht="18.15" hidden="false" customHeight="true" outlineLevel="0" collapsed="false">
      <c r="B95" s="61"/>
      <c r="C95" s="62" t="str">
        <f aca="false">HYPERLINK("http://www.emi-penza.ru/p/1302.3768_M", "1302.3768 М")</f>
        <v>1302.3768 М</v>
      </c>
      <c r="D95" s="63" t="s">
        <v>135</v>
      </c>
      <c r="E95" s="63"/>
      <c r="F95" s="63"/>
      <c r="G95" s="63" t="s">
        <v>136</v>
      </c>
      <c r="H95" s="63"/>
      <c r="I95" s="64"/>
      <c r="J95" s="64"/>
      <c r="K95" s="63" t="s">
        <v>137</v>
      </c>
      <c r="L95" s="63"/>
      <c r="M95" s="63"/>
      <c r="N95" s="65" t="n">
        <v>90</v>
      </c>
      <c r="O95" s="65" t="n">
        <f aca="false">ROUND(N95*1.2, 2)</f>
        <v>108</v>
      </c>
      <c r="R95" s="10"/>
      <c r="S95" s="66" t="n">
        <v>30</v>
      </c>
      <c r="T95" s="66"/>
      <c r="U95" s="67" t="n">
        <v>0</v>
      </c>
      <c r="V95" s="66"/>
      <c r="W95" s="72" t="str">
        <f aca="false">IF(OR(U95=0,N95=""), "", O95*ROUND(U95,0))</f>
        <v/>
      </c>
      <c r="X95" s="99" t="str">
        <f aca="false">IF(AND(N95="", U95&lt;&gt;""),"?",IF(AND(W95&lt;&gt;0,W95&lt;&gt;""), "р.", ""))</f>
        <v/>
      </c>
      <c r="Y95" s="70" t="str">
        <f aca="false">IF(AND(S95&gt;0,U95&gt;0), S95*ROUND(U95,0) / 1000, "")</f>
        <v/>
      </c>
      <c r="Z95" s="99" t="str">
        <f aca="false">IF(AND(Y95&lt;&gt;0,Y95&lt;&gt;""), "кг", "")</f>
        <v/>
      </c>
      <c r="AA95" s="10"/>
    </row>
    <row r="96" customFormat="false" ht="18.15" hidden="false" customHeight="true" outlineLevel="0" collapsed="false">
      <c r="B96" s="61"/>
      <c r="C96" s="62" t="str">
        <f aca="false">HYPERLINK("http://www.emi-penza.ru/p/148/", "1312.3768-01")</f>
        <v>1312.3768-01</v>
      </c>
      <c r="D96" s="63" t="s">
        <v>138</v>
      </c>
      <c r="E96" s="63"/>
      <c r="F96" s="63"/>
      <c r="G96" s="63" t="s">
        <v>136</v>
      </c>
      <c r="H96" s="63"/>
      <c r="I96" s="64"/>
      <c r="J96" s="64"/>
      <c r="K96" s="63" t="s">
        <v>139</v>
      </c>
      <c r="L96" s="63"/>
      <c r="M96" s="63"/>
      <c r="N96" s="65" t="n">
        <v>94</v>
      </c>
      <c r="O96" s="65" t="n">
        <f aca="false">ROUND(N96*1.2, 2)</f>
        <v>112.8</v>
      </c>
      <c r="R96" s="10"/>
      <c r="S96" s="66" t="n">
        <v>38</v>
      </c>
      <c r="T96" s="66"/>
      <c r="U96" s="67" t="n">
        <v>0</v>
      </c>
      <c r="V96" s="66"/>
      <c r="W96" s="72" t="str">
        <f aca="false">IF(OR(U96=0,N96=""), "", O96*ROUND(U96,0))</f>
        <v/>
      </c>
      <c r="X96" s="99" t="str">
        <f aca="false">IF(AND(N96="", U96&lt;&gt;""),"?",IF(AND(W96&lt;&gt;0,W96&lt;&gt;""), "р.", ""))</f>
        <v/>
      </c>
      <c r="Y96" s="70" t="str">
        <f aca="false">IF(AND(S96&gt;0,U96&gt;0), S96*ROUND(U96,0) / 1000, "")</f>
        <v/>
      </c>
      <c r="Z96" s="99" t="str">
        <f aca="false">IF(AND(Y96&lt;&gt;0,Y96&lt;&gt;""), "кг", "")</f>
        <v/>
      </c>
      <c r="AA96" s="10"/>
    </row>
    <row r="97" customFormat="false" ht="18.15" hidden="false" customHeight="true" outlineLevel="0" collapsed="false">
      <c r="B97" s="61"/>
      <c r="C97" s="62" t="str">
        <f aca="false">HYPERLINK("https://www.emi-penza.ru/p/1312.3768-01_var-02", "1312.3768-01 исп-02")</f>
        <v>1312.3768-01 исп-02</v>
      </c>
      <c r="D97" s="63"/>
      <c r="E97" s="63"/>
      <c r="F97" s="63" t="s">
        <v>140</v>
      </c>
      <c r="G97" s="63" t="s">
        <v>141</v>
      </c>
      <c r="H97" s="63"/>
      <c r="I97" s="64"/>
      <c r="J97" s="64"/>
      <c r="K97" s="63" t="s">
        <v>142</v>
      </c>
      <c r="L97" s="63"/>
      <c r="M97" s="63"/>
      <c r="N97" s="65" t="n">
        <v>115</v>
      </c>
      <c r="O97" s="65" t="n">
        <f aca="false">ROUND(N97*1.2, 2)</f>
        <v>138</v>
      </c>
      <c r="R97" s="10"/>
      <c r="S97" s="66" t="n">
        <v>26</v>
      </c>
      <c r="T97" s="66"/>
      <c r="U97" s="67" t="n">
        <v>0</v>
      </c>
      <c r="V97" s="66"/>
      <c r="W97" s="72" t="str">
        <f aca="false">IF(OR(U97=0,N97=""), "", O97*ROUND(U97,0))</f>
        <v/>
      </c>
      <c r="X97" s="99" t="str">
        <f aca="false">IF(AND(N97="", U97&lt;&gt;""),"?",IF(AND(W97&lt;&gt;0,W97&lt;&gt;""), "р.", ""))</f>
        <v/>
      </c>
      <c r="Y97" s="70" t="str">
        <f aca="false">IF(AND(S97&gt;0,U97&gt;0), S97*ROUND(U97,0) / 1000, "")</f>
        <v/>
      </c>
      <c r="Z97" s="99" t="str">
        <f aca="false">IF(AND(Y97&lt;&gt;0,Y97&lt;&gt;""), "кг", "")</f>
        <v/>
      </c>
      <c r="AA97" s="10"/>
    </row>
    <row r="98" customFormat="false" ht="18.15" hidden="false" customHeight="true" outlineLevel="0" collapsed="false">
      <c r="B98" s="61"/>
      <c r="C98" s="62" t="str">
        <f aca="false">HYPERLINK("http://www.emi-penza.ru/p/147/", "1322.3768-01")</f>
        <v>1322.3768-01</v>
      </c>
      <c r="D98" s="63" t="s">
        <v>143</v>
      </c>
      <c r="E98" s="63"/>
      <c r="F98" s="63"/>
      <c r="G98" s="63" t="s">
        <v>136</v>
      </c>
      <c r="H98" s="63"/>
      <c r="I98" s="64"/>
      <c r="J98" s="64"/>
      <c r="K98" s="63" t="s">
        <v>139</v>
      </c>
      <c r="L98" s="63"/>
      <c r="M98" s="63"/>
      <c r="N98" s="65" t="n">
        <v>93</v>
      </c>
      <c r="O98" s="65" t="n">
        <f aca="false">ROUND(N98*1.2, 2)</f>
        <v>111.6</v>
      </c>
      <c r="R98" s="10"/>
      <c r="S98" s="66" t="n">
        <v>36</v>
      </c>
      <c r="T98" s="66"/>
      <c r="U98" s="67" t="n">
        <v>0</v>
      </c>
      <c r="V98" s="66"/>
      <c r="W98" s="72" t="str">
        <f aca="false">IF(OR(U98=0,N98=""), "", O98*ROUND(U98,0))</f>
        <v/>
      </c>
      <c r="X98" s="99" t="str">
        <f aca="false">IF(AND(N98="", U98&lt;&gt;""),"?",IF(AND(W98&lt;&gt;0,W98&lt;&gt;""), "р.", ""))</f>
        <v/>
      </c>
      <c r="Y98" s="70" t="str">
        <f aca="false">IF(AND(S98&gt;0,U98&gt;0), S98*ROUND(U98,0) / 1000, "")</f>
        <v/>
      </c>
      <c r="Z98" s="99" t="str">
        <f aca="false">IF(AND(Y98&lt;&gt;0,Y98&lt;&gt;""), "кг", "")</f>
        <v/>
      </c>
      <c r="AA98" s="10"/>
    </row>
    <row r="99" customFormat="false" ht="18.15" hidden="false" customHeight="true" outlineLevel="0" collapsed="false">
      <c r="B99" s="61"/>
      <c r="C99" s="62" t="str">
        <f aca="false">HYPERLINK("http://www.emi-penza.ru/p/123/", "1332.3768")</f>
        <v>1332.3768</v>
      </c>
      <c r="D99" s="63" t="s">
        <v>144</v>
      </c>
      <c r="E99" s="63"/>
      <c r="F99" s="63"/>
      <c r="G99" s="63" t="s">
        <v>136</v>
      </c>
      <c r="H99" s="63"/>
      <c r="I99" s="64"/>
      <c r="J99" s="64"/>
      <c r="K99" s="63" t="s">
        <v>145</v>
      </c>
      <c r="L99" s="63"/>
      <c r="M99" s="63"/>
      <c r="N99" s="65" t="n">
        <v>96</v>
      </c>
      <c r="O99" s="65" t="n">
        <f aca="false">ROUND(N99*1.2, 2)</f>
        <v>115.2</v>
      </c>
      <c r="R99" s="10"/>
      <c r="S99" s="66" t="n">
        <v>40</v>
      </c>
      <c r="T99" s="66"/>
      <c r="U99" s="67" t="n">
        <v>0</v>
      </c>
      <c r="V99" s="66"/>
      <c r="W99" s="72" t="str">
        <f aca="false">IF(OR(U99=0,N99=""), "", O99*ROUND(U99,0))</f>
        <v/>
      </c>
      <c r="X99" s="99" t="str">
        <f aca="false">IF(AND(N99="", U99&lt;&gt;""),"?",IF(AND(W99&lt;&gt;0,W99&lt;&gt;""), "р.", ""))</f>
        <v/>
      </c>
      <c r="Y99" s="70" t="str">
        <f aca="false">IF(AND(S99&gt;0,U99&gt;0), S99*ROUND(U99,0) / 1000, "")</f>
        <v/>
      </c>
      <c r="Z99" s="99" t="str">
        <f aca="false">IF(AND(Y99&lt;&gt;0,Y99&lt;&gt;""), "кг", "")</f>
        <v/>
      </c>
      <c r="AA99" s="10"/>
    </row>
    <row r="100" customFormat="false" ht="18.15" hidden="false" customHeight="true" outlineLevel="0" collapsed="false">
      <c r="B100" s="61"/>
      <c r="C100" s="62" t="str">
        <f aca="false">HYPERLINK("http://www.emi-penza.ru/p/135/", "1332.3768-01")</f>
        <v>1332.3768-01</v>
      </c>
      <c r="D100" s="63" t="s">
        <v>146</v>
      </c>
      <c r="E100" s="63"/>
      <c r="F100" s="63"/>
      <c r="G100" s="63" t="s">
        <v>136</v>
      </c>
      <c r="H100" s="63"/>
      <c r="I100" s="64"/>
      <c r="J100" s="64"/>
      <c r="K100" s="63" t="s">
        <v>147</v>
      </c>
      <c r="L100" s="63"/>
      <c r="M100" s="63"/>
      <c r="N100" s="65" t="n">
        <v>108</v>
      </c>
      <c r="O100" s="65" t="n">
        <f aca="false">ROUND(N100*1.2, 2)</f>
        <v>129.6</v>
      </c>
      <c r="R100" s="10"/>
      <c r="S100" s="66" t="n">
        <v>35</v>
      </c>
      <c r="T100" s="66"/>
      <c r="U100" s="67" t="n">
        <v>0</v>
      </c>
      <c r="V100" s="66"/>
      <c r="W100" s="72" t="str">
        <f aca="false">IF(OR(U100=0,N100=""), "", O100*ROUND(U100,0))</f>
        <v/>
      </c>
      <c r="X100" s="99" t="str">
        <f aca="false">IF(AND(N100="", U100&lt;&gt;""),"?",IF(AND(W100&lt;&gt;0,W100&lt;&gt;""), "р.", ""))</f>
        <v/>
      </c>
      <c r="Y100" s="70" t="str">
        <f aca="false">IF(AND(S100&gt;0,U100&gt;0), S100*ROUND(U100,0) / 1000, "")</f>
        <v/>
      </c>
      <c r="Z100" s="99" t="str">
        <f aca="false">IF(AND(Y100&lt;&gt;0,Y100&lt;&gt;""), "кг", "")</f>
        <v/>
      </c>
      <c r="AA100" s="10"/>
    </row>
    <row r="101" customFormat="false" ht="18.15" hidden="false" customHeight="true" outlineLevel="0" collapsed="false">
      <c r="B101" s="61"/>
      <c r="C101" s="62" t="str">
        <f aca="false">HYPERLINK("http://www.emi-penza.ru/p/1332.3768-02", "1332.3768-02")</f>
        <v>1332.3768-02</v>
      </c>
      <c r="D101" s="63"/>
      <c r="E101" s="63"/>
      <c r="F101" s="63"/>
      <c r="G101" s="63" t="s">
        <v>128</v>
      </c>
      <c r="H101" s="63"/>
      <c r="I101" s="64"/>
      <c r="J101" s="64"/>
      <c r="K101" s="63" t="s">
        <v>116</v>
      </c>
      <c r="L101" s="63"/>
      <c r="M101" s="63"/>
      <c r="N101" s="65" t="n">
        <v>141</v>
      </c>
      <c r="O101" s="65" t="n">
        <f aca="false">ROUND(N101*1.2, 2)</f>
        <v>169.2</v>
      </c>
      <c r="R101" s="10"/>
      <c r="S101" s="66" t="n">
        <v>35</v>
      </c>
      <c r="T101" s="66"/>
      <c r="U101" s="67" t="n">
        <v>0</v>
      </c>
      <c r="V101" s="66"/>
      <c r="W101" s="72" t="str">
        <f aca="false">IF(OR(U101=0,N101=""), "", O101*ROUND(U101,0))</f>
        <v/>
      </c>
      <c r="X101" s="99" t="str">
        <f aca="false">IF(AND(N101="", U101&lt;&gt;""),"?",IF(AND(W101&lt;&gt;0,W101&lt;&gt;""), "р.", ""))</f>
        <v/>
      </c>
      <c r="Y101" s="70" t="str">
        <f aca="false">IF(AND(S101&gt;0,U101&gt;0), S101*ROUND(U101,0) / 1000, "")</f>
        <v/>
      </c>
      <c r="Z101" s="99" t="str">
        <f aca="false">IF(AND(Y101&lt;&gt;0,Y101&lt;&gt;""), "кг", "")</f>
        <v/>
      </c>
      <c r="AA101" s="10"/>
    </row>
    <row r="102" customFormat="false" ht="18.15" hidden="false" customHeight="true" outlineLevel="0" collapsed="false">
      <c r="B102" s="61"/>
      <c r="C102" s="62" t="str">
        <f aca="false">HYPERLINK("http://www.emi-penza.ru/p/114/", "1342.3768")</f>
        <v>1342.3768</v>
      </c>
      <c r="D102" s="63" t="s">
        <v>148</v>
      </c>
      <c r="E102" s="63"/>
      <c r="F102" s="63"/>
      <c r="G102" s="63" t="s">
        <v>149</v>
      </c>
      <c r="H102" s="63"/>
      <c r="I102" s="64"/>
      <c r="J102" s="64"/>
      <c r="K102" s="63" t="s">
        <v>150</v>
      </c>
      <c r="L102" s="63"/>
      <c r="M102" s="63"/>
      <c r="N102" s="65" t="n">
        <v>107</v>
      </c>
      <c r="O102" s="65" t="n">
        <f aca="false">ROUND(N102*1.2, 2)</f>
        <v>128.4</v>
      </c>
      <c r="R102" s="10"/>
      <c r="S102" s="66" t="n">
        <v>36</v>
      </c>
      <c r="T102" s="66"/>
      <c r="U102" s="67" t="n">
        <v>0</v>
      </c>
      <c r="V102" s="66"/>
      <c r="W102" s="72" t="str">
        <f aca="false">IF(OR(U102=0,N102=""), "", O102*ROUND(U102,0))</f>
        <v/>
      </c>
      <c r="X102" s="99" t="str">
        <f aca="false">IF(AND(N102="", U102&lt;&gt;""),"?",IF(AND(W102&lt;&gt;0,W102&lt;&gt;""), "р.", ""))</f>
        <v/>
      </c>
      <c r="Y102" s="70" t="str">
        <f aca="false">IF(AND(S102&gt;0,U102&gt;0), S102*ROUND(U102,0) / 1000, "")</f>
        <v/>
      </c>
      <c r="Z102" s="99" t="str">
        <f aca="false">IF(AND(Y102&lt;&gt;0,Y102&lt;&gt;""), "кг", "")</f>
        <v/>
      </c>
      <c r="AA102" s="10"/>
    </row>
    <row r="103" customFormat="false" ht="18.15" hidden="false" customHeight="true" outlineLevel="0" collapsed="false">
      <c r="B103" s="61"/>
      <c r="C103" s="62" t="str">
        <f aca="false">HYPERLINK("http://www.emi-penza.ru/p/145/", "1342.3768-01")</f>
        <v>1342.3768-01</v>
      </c>
      <c r="D103" s="63" t="s">
        <v>151</v>
      </c>
      <c r="E103" s="63"/>
      <c r="F103" s="63"/>
      <c r="G103" s="63" t="s">
        <v>122</v>
      </c>
      <c r="H103" s="64"/>
      <c r="I103" s="64"/>
      <c r="J103" s="64"/>
      <c r="K103" s="63" t="s">
        <v>32</v>
      </c>
      <c r="L103" s="64"/>
      <c r="M103" s="64"/>
      <c r="N103" s="126" t="n">
        <v>127</v>
      </c>
      <c r="O103" s="65" t="n">
        <f aca="false">ROUND(N103*1.2, 2)</f>
        <v>152.4</v>
      </c>
      <c r="P103" s="3"/>
      <c r="R103" s="147"/>
      <c r="S103" s="66" t="n">
        <v>45</v>
      </c>
      <c r="T103" s="66"/>
      <c r="U103" s="67" t="n">
        <v>0</v>
      </c>
      <c r="V103" s="66"/>
      <c r="W103" s="72" t="str">
        <f aca="false">IF(OR(U103=0,N103=""), "", O103*ROUND(U103,0))</f>
        <v/>
      </c>
      <c r="X103" s="99" t="str">
        <f aca="false">IF(AND(N103="", U103&lt;&gt;""),"?",IF(AND(W103&lt;&gt;0,W103&lt;&gt;""), "р.", ""))</f>
        <v/>
      </c>
      <c r="Y103" s="70" t="str">
        <f aca="false">IF(AND(S103&gt;0,U103&gt;0), S103*ROUND(U103,0) / 1000, "")</f>
        <v/>
      </c>
      <c r="Z103" s="99" t="str">
        <f aca="false">IF(AND(Y103&lt;&gt;0,Y103&lt;&gt;""), "кг", "")</f>
        <v/>
      </c>
      <c r="AA103" s="147"/>
      <c r="AB103" s="3"/>
    </row>
    <row r="104" customFormat="false" ht="18.15" hidden="false" customHeight="true" outlineLevel="0" collapsed="false">
      <c r="B104" s="61"/>
      <c r="C104" s="62" t="str">
        <f aca="false">HYPERLINK("http://www.emi-penza.ru/p/146/", "1342.3768-02")</f>
        <v>1342.3768-02</v>
      </c>
      <c r="D104" s="63" t="s">
        <v>152</v>
      </c>
      <c r="E104" s="63"/>
      <c r="F104" s="63"/>
      <c r="G104" s="63" t="s">
        <v>128</v>
      </c>
      <c r="H104" s="64"/>
      <c r="I104" s="64"/>
      <c r="J104" s="64"/>
      <c r="K104" s="63" t="s">
        <v>32</v>
      </c>
      <c r="L104" s="64"/>
      <c r="M104" s="64"/>
      <c r="N104" s="126" t="n">
        <v>112</v>
      </c>
      <c r="O104" s="65" t="n">
        <f aca="false">ROUND(N104*1.2, 2)</f>
        <v>134.4</v>
      </c>
      <c r="P104" s="3"/>
      <c r="R104" s="147"/>
      <c r="S104" s="66" t="n">
        <v>40</v>
      </c>
      <c r="T104" s="66"/>
      <c r="U104" s="67" t="n">
        <v>0</v>
      </c>
      <c r="V104" s="66"/>
      <c r="W104" s="72" t="str">
        <f aca="false">IF(OR(U104=0,N104=""), "", O104*ROUND(U104,0))</f>
        <v/>
      </c>
      <c r="X104" s="99" t="str">
        <f aca="false">IF(AND(N104="", U104&lt;&gt;""),"?",IF(AND(W104&lt;&gt;0,W104&lt;&gt;""), "р.", ""))</f>
        <v/>
      </c>
      <c r="Y104" s="70" t="str">
        <f aca="false">IF(AND(S104&gt;0,U104&gt;0), S104*ROUND(U104,0) / 1000, "")</f>
        <v/>
      </c>
      <c r="Z104" s="99" t="str">
        <f aca="false">IF(AND(Y104&lt;&gt;0,Y104&lt;&gt;""), "кг", "")</f>
        <v/>
      </c>
      <c r="AA104" s="147"/>
      <c r="AB104" s="3"/>
    </row>
    <row r="105" customFormat="false" ht="13.6" hidden="false" customHeight="true" outlineLevel="0" collapsed="false">
      <c r="B105" s="73"/>
      <c r="C105" s="74" t="str">
        <f aca="false">HYPERLINK("http://www.emi-penza.ru/p/158/", "1342.3768-06")</f>
        <v>1342.3768-06</v>
      </c>
      <c r="D105" s="75" t="s">
        <v>153</v>
      </c>
      <c r="E105" s="75"/>
      <c r="F105" s="75"/>
      <c r="G105" s="75" t="s">
        <v>128</v>
      </c>
      <c r="H105" s="75"/>
      <c r="I105" s="76"/>
      <c r="J105" s="76"/>
      <c r="K105" s="75" t="s">
        <v>154</v>
      </c>
      <c r="L105" s="75"/>
      <c r="M105" s="95"/>
      <c r="N105" s="77" t="n">
        <v>127</v>
      </c>
      <c r="O105" s="77" t="n">
        <f aca="false">ROUND(N105*1.2, 2)</f>
        <v>152.4</v>
      </c>
      <c r="R105" s="10"/>
      <c r="S105" s="78" t="n">
        <v>41</v>
      </c>
      <c r="T105" s="78"/>
      <c r="U105" s="79" t="n">
        <v>0</v>
      </c>
      <c r="V105" s="78"/>
      <c r="W105" s="80" t="str">
        <f aca="false">IF(OR(U105=0,N105=""), "", O105*ROUND(U105,0))</f>
        <v/>
      </c>
      <c r="X105" s="100" t="str">
        <f aca="false">IF(AND(N105="", U105&lt;&gt;""),"?",IF(AND(W105&lt;&gt;0,W105&lt;&gt;""), "р.", ""))</f>
        <v/>
      </c>
      <c r="Y105" s="82" t="str">
        <f aca="false">IF(AND(S105&gt;0,U105&gt;0), S105*ROUND(U105,0) / 1000, "")</f>
        <v/>
      </c>
      <c r="Z105" s="100" t="str">
        <f aca="false">IF(AND(Y105&lt;&gt;0,Y105&lt;&gt;""), "кг", "")</f>
        <v/>
      </c>
      <c r="AA105" s="10"/>
    </row>
    <row r="106" customFormat="false" ht="15" hidden="false" customHeight="true" outlineLevel="0" collapsed="false">
      <c r="B106" s="84"/>
      <c r="C106" s="85"/>
      <c r="D106" s="148" t="s">
        <v>155</v>
      </c>
      <c r="E106" s="86"/>
      <c r="F106" s="86"/>
      <c r="G106" s="86"/>
      <c r="H106" s="86"/>
      <c r="I106" s="87"/>
      <c r="J106" s="87"/>
      <c r="K106" s="86" t="s">
        <v>156</v>
      </c>
      <c r="L106" s="86"/>
      <c r="M106" s="97"/>
      <c r="N106" s="88"/>
      <c r="O106" s="88"/>
      <c r="R106" s="10"/>
      <c r="S106" s="89"/>
      <c r="T106" s="89"/>
      <c r="U106" s="90"/>
      <c r="V106" s="89"/>
      <c r="W106" s="91" t="str">
        <f aca="false">IF(OR(U106=0,N106=""), "", O106*ROUND(U106,0))</f>
        <v/>
      </c>
      <c r="X106" s="101" t="str">
        <f aca="false">IF(AND(N106="", U106&lt;&gt;""),"?",IF(AND(W106&lt;&gt;0,W106&lt;&gt;""), "р.", ""))</f>
        <v/>
      </c>
      <c r="Y106" s="93" t="str">
        <f aca="false">IF(AND(S106&gt;0,U106&gt;0), S106*ROUND(U106,0) / 1000, "")</f>
        <v/>
      </c>
      <c r="Z106" s="101" t="str">
        <f aca="false">IF(AND(Y106&lt;&gt;0,Y106&lt;&gt;""), "кг", "")</f>
        <v/>
      </c>
      <c r="AA106" s="10"/>
    </row>
    <row r="107" customFormat="false" ht="13.6" hidden="false" customHeight="true" outlineLevel="0" collapsed="false">
      <c r="B107" s="73"/>
      <c r="C107" s="74" t="str">
        <f aca="false">HYPERLINK("http://www.emi-penza.ru/p/159/", "1342.3768-07")</f>
        <v>1342.3768-07</v>
      </c>
      <c r="D107" s="75" t="s">
        <v>157</v>
      </c>
      <c r="E107" s="75"/>
      <c r="F107" s="75"/>
      <c r="G107" s="75" t="s">
        <v>128</v>
      </c>
      <c r="H107" s="75"/>
      <c r="I107" s="76"/>
      <c r="J107" s="76"/>
      <c r="K107" s="75" t="s">
        <v>158</v>
      </c>
      <c r="L107" s="75"/>
      <c r="M107" s="95"/>
      <c r="N107" s="77" t="n">
        <v>127</v>
      </c>
      <c r="O107" s="77" t="n">
        <f aca="false">ROUND(N107*1.2, 2)</f>
        <v>152.4</v>
      </c>
      <c r="R107" s="10"/>
      <c r="S107" s="78" t="n">
        <v>41</v>
      </c>
      <c r="T107" s="78"/>
      <c r="U107" s="79" t="n">
        <v>0</v>
      </c>
      <c r="V107" s="78"/>
      <c r="W107" s="80" t="str">
        <f aca="false">IF(OR(U107=0,N107=""), "", O107*ROUND(U107,0))</f>
        <v/>
      </c>
      <c r="X107" s="100" t="str">
        <f aca="false">IF(AND(N107="", U107&lt;&gt;""),"?",IF(AND(W107&lt;&gt;0,W107&lt;&gt;""), "р.", ""))</f>
        <v/>
      </c>
      <c r="Y107" s="82" t="str">
        <f aca="false">IF(AND(S107&gt;0,U107&gt;0), S107*ROUND(U107,0) / 1000, "")</f>
        <v/>
      </c>
      <c r="Z107" s="100" t="str">
        <f aca="false">IF(AND(Y107&lt;&gt;0,Y107&lt;&gt;""), "кг", "")</f>
        <v/>
      </c>
      <c r="AA107" s="10"/>
    </row>
    <row r="108" customFormat="false" ht="15" hidden="false" customHeight="true" outlineLevel="0" collapsed="false">
      <c r="B108" s="84"/>
      <c r="C108" s="85"/>
      <c r="D108" s="148" t="s">
        <v>159</v>
      </c>
      <c r="E108" s="86"/>
      <c r="F108" s="86"/>
      <c r="G108" s="86"/>
      <c r="H108" s="86"/>
      <c r="I108" s="87"/>
      <c r="J108" s="87"/>
      <c r="K108" s="86"/>
      <c r="L108" s="86"/>
      <c r="M108" s="97"/>
      <c r="N108" s="88"/>
      <c r="O108" s="88"/>
      <c r="R108" s="10"/>
      <c r="S108" s="89"/>
      <c r="T108" s="89"/>
      <c r="U108" s="90"/>
      <c r="V108" s="89"/>
      <c r="W108" s="91" t="str">
        <f aca="false">IF(OR(U108=0,N108=""), "", O108*ROUND(U108,0))</f>
        <v/>
      </c>
      <c r="X108" s="101" t="str">
        <f aca="false">IF(AND(N108="", U108&lt;&gt;""),"?",IF(AND(W108&lt;&gt;0,W108&lt;&gt;""), "р.", ""))</f>
        <v/>
      </c>
      <c r="Y108" s="93" t="str">
        <f aca="false">IF(AND(S108&gt;0,U108&gt;0), S108*ROUND(U108,0) / 1000, "")</f>
        <v/>
      </c>
      <c r="Z108" s="101" t="str">
        <f aca="false">IF(AND(Y108&lt;&gt;0,Y108&lt;&gt;""), "кг", "")</f>
        <v/>
      </c>
      <c r="AA108" s="10"/>
    </row>
    <row r="109" customFormat="false" ht="13.6" hidden="false" customHeight="true" outlineLevel="0" collapsed="false">
      <c r="B109" s="73"/>
      <c r="C109" s="74" t="str">
        <f aca="false">HYPERLINK("http://www.emi-penza.ru/p/118/", "1352.3768")</f>
        <v>1352.3768</v>
      </c>
      <c r="D109" s="75" t="s">
        <v>160</v>
      </c>
      <c r="E109" s="75"/>
      <c r="F109" s="75"/>
      <c r="G109" s="75" t="s">
        <v>136</v>
      </c>
      <c r="H109" s="75"/>
      <c r="I109" s="76"/>
      <c r="J109" s="76"/>
      <c r="K109" s="75" t="s">
        <v>161</v>
      </c>
      <c r="L109" s="75"/>
      <c r="M109" s="95"/>
      <c r="N109" s="77" t="n">
        <v>98</v>
      </c>
      <c r="O109" s="77" t="n">
        <f aca="false">ROUND(N109*1.2, 2)</f>
        <v>117.6</v>
      </c>
      <c r="R109" s="10"/>
      <c r="S109" s="78" t="n">
        <v>38</v>
      </c>
      <c r="T109" s="78"/>
      <c r="U109" s="79" t="n">
        <v>0</v>
      </c>
      <c r="V109" s="78"/>
      <c r="W109" s="80" t="str">
        <f aca="false">IF(OR(U109=0,N109=""), "", O109*ROUND(U109,0))</f>
        <v/>
      </c>
      <c r="X109" s="100" t="str">
        <f aca="false">IF(AND(N109="", U109&lt;&gt;""),"?",IF(AND(W109&lt;&gt;0,W109&lt;&gt;""), "р.", ""))</f>
        <v/>
      </c>
      <c r="Y109" s="82" t="str">
        <f aca="false">IF(AND(S109&gt;0,U109&gt;0), S109*ROUND(U109,0) / 1000, "")</f>
        <v/>
      </c>
      <c r="Z109" s="100" t="str">
        <f aca="false">IF(AND(Y109&lt;&gt;0,Y109&lt;&gt;""), "кг", "")</f>
        <v/>
      </c>
      <c r="AA109" s="10"/>
    </row>
    <row r="110" customFormat="false" ht="15" hidden="false" customHeight="true" outlineLevel="0" collapsed="false">
      <c r="B110" s="84"/>
      <c r="C110" s="85"/>
      <c r="D110" s="148" t="s">
        <v>162</v>
      </c>
      <c r="E110" s="86"/>
      <c r="F110" s="86"/>
      <c r="G110" s="86"/>
      <c r="H110" s="86"/>
      <c r="I110" s="87"/>
      <c r="J110" s="87"/>
      <c r="K110" s="86"/>
      <c r="L110" s="86"/>
      <c r="M110" s="97"/>
      <c r="N110" s="88"/>
      <c r="O110" s="88"/>
      <c r="R110" s="10"/>
      <c r="S110" s="89"/>
      <c r="T110" s="89"/>
      <c r="U110" s="90"/>
      <c r="V110" s="89"/>
      <c r="W110" s="91" t="str">
        <f aca="false">IF(OR(U110=0,N110=""), "", O110*ROUND(U110,0))</f>
        <v/>
      </c>
      <c r="X110" s="101" t="str">
        <f aca="false">IF(AND(N110="", U110&lt;&gt;""),"?",IF(AND(W110&lt;&gt;0,W110&lt;&gt;""), "р.", ""))</f>
        <v/>
      </c>
      <c r="Y110" s="93" t="str">
        <f aca="false">IF(AND(S110&gt;0,U110&gt;0), S110*ROUND(U110,0) / 1000, "")</f>
        <v/>
      </c>
      <c r="Z110" s="101" t="str">
        <f aca="false">IF(AND(Y110&lt;&gt;0,Y110&lt;&gt;""), "кг", "")</f>
        <v/>
      </c>
      <c r="AA110" s="10"/>
    </row>
    <row r="111" customFormat="false" ht="13.6" hidden="false" customHeight="true" outlineLevel="0" collapsed="false">
      <c r="B111" s="73"/>
      <c r="C111" s="74" t="str">
        <f aca="false">HYPERLINK("http://www.emi-penza.ru/p/129/", "1352.3768-01")</f>
        <v>1352.3768-01</v>
      </c>
      <c r="D111" s="75" t="s">
        <v>163</v>
      </c>
      <c r="E111" s="75"/>
      <c r="F111" s="75"/>
      <c r="G111" s="75" t="s">
        <v>136</v>
      </c>
      <c r="H111" s="75"/>
      <c r="I111" s="76"/>
      <c r="J111" s="76"/>
      <c r="K111" s="75" t="s">
        <v>28</v>
      </c>
      <c r="L111" s="75"/>
      <c r="M111" s="75"/>
      <c r="N111" s="77" t="n">
        <v>195</v>
      </c>
      <c r="O111" s="77" t="n">
        <f aca="false">ROUND(N111*1.2, 2)</f>
        <v>234</v>
      </c>
      <c r="R111" s="10"/>
      <c r="S111" s="78" t="n">
        <v>40</v>
      </c>
      <c r="T111" s="78"/>
      <c r="U111" s="79" t="n">
        <v>0</v>
      </c>
      <c r="V111" s="78"/>
      <c r="W111" s="80" t="str">
        <f aca="false">IF(OR(U111=0,N111=""), "", O111*ROUND(U111,0))</f>
        <v/>
      </c>
      <c r="X111" s="100" t="str">
        <f aca="false">IF(AND(N111="", U111&lt;&gt;""),"?",IF(AND(W111&lt;&gt;0,W111&lt;&gt;""), "р.", ""))</f>
        <v/>
      </c>
      <c r="Y111" s="82" t="str">
        <f aca="false">IF(AND(S111&gt;0,U111&gt;0), S111*ROUND(U111,0) / 1000, "")</f>
        <v/>
      </c>
      <c r="Z111" s="100" t="str">
        <f aca="false">IF(AND(Y111&lt;&gt;0,Y111&lt;&gt;""), "кг", "")</f>
        <v/>
      </c>
      <c r="AA111" s="10"/>
    </row>
    <row r="112" customFormat="false" ht="15" hidden="false" customHeight="true" outlineLevel="0" collapsed="false">
      <c r="B112" s="84"/>
      <c r="C112" s="85"/>
      <c r="D112" s="86"/>
      <c r="E112" s="86"/>
      <c r="F112" s="86"/>
      <c r="G112" s="86" t="s">
        <v>30</v>
      </c>
      <c r="H112" s="86"/>
      <c r="I112" s="87"/>
      <c r="J112" s="87"/>
      <c r="K112" s="86"/>
      <c r="L112" s="86"/>
      <c r="M112" s="86"/>
      <c r="N112" s="88"/>
      <c r="O112" s="88"/>
      <c r="R112" s="10"/>
      <c r="S112" s="89"/>
      <c r="T112" s="89"/>
      <c r="U112" s="90"/>
      <c r="V112" s="89"/>
      <c r="W112" s="91" t="str">
        <f aca="false">IF(OR(U112=0,N112=""), "", O112*ROUND(U112,0))</f>
        <v/>
      </c>
      <c r="X112" s="101" t="str">
        <f aca="false">IF(AND(N112="", U112&lt;&gt;""),"?",IF(AND(W112&lt;&gt;0,W112&lt;&gt;""), "р.", ""))</f>
        <v/>
      </c>
      <c r="Y112" s="93" t="str">
        <f aca="false">IF(AND(S112&gt;0,U112&gt;0), S112*ROUND(U112,0) / 1000, "")</f>
        <v/>
      </c>
      <c r="Z112" s="101" t="str">
        <f aca="false">IF(AND(Y112&lt;&gt;0,Y112&lt;&gt;""), "кг", "")</f>
        <v/>
      </c>
      <c r="AA112" s="10"/>
    </row>
    <row r="113" customFormat="false" ht="18.15" hidden="false" customHeight="true" outlineLevel="0" collapsed="false">
      <c r="B113" s="61"/>
      <c r="C113" s="62" t="str">
        <f aca="false">HYPERLINK("http://www.emi-penza.ru/p/1352.3768-01_SO_M18", "1352.3768-01 СЗ М18")</f>
        <v>1352.3768-01 СЗ М18</v>
      </c>
      <c r="D113" s="63"/>
      <c r="E113" s="63"/>
      <c r="F113" s="63" t="s">
        <v>164</v>
      </c>
      <c r="G113" s="63"/>
      <c r="H113" s="64"/>
      <c r="I113" s="64"/>
      <c r="J113" s="64"/>
      <c r="K113" s="63" t="s">
        <v>116</v>
      </c>
      <c r="L113" s="64"/>
      <c r="M113" s="64"/>
      <c r="N113" s="126" t="n">
        <v>200</v>
      </c>
      <c r="O113" s="65" t="n">
        <f aca="false">ROUND(N113*1.2, 2)</f>
        <v>240</v>
      </c>
      <c r="P113" s="3"/>
      <c r="R113" s="147"/>
      <c r="S113" s="66" t="n">
        <v>52</v>
      </c>
      <c r="T113" s="66"/>
      <c r="U113" s="67" t="n">
        <v>0</v>
      </c>
      <c r="V113" s="66"/>
      <c r="W113" s="72" t="str">
        <f aca="false">IF(OR(U113=0,N113=""), "", O113*ROUND(U113,0))</f>
        <v/>
      </c>
      <c r="X113" s="99" t="str">
        <f aca="false">IF(AND(N113="", U113&lt;&gt;""),"?",IF(AND(W113&lt;&gt;0,W113&lt;&gt;""), "р.", ""))</f>
        <v/>
      </c>
      <c r="Y113" s="70" t="str">
        <f aca="false">IF(AND(S113&gt;0,U113&gt;0), S113*ROUND(U113,0) / 1000, "")</f>
        <v/>
      </c>
      <c r="Z113" s="99" t="str">
        <f aca="false">IF(AND(Y113&lt;&gt;0,Y113&lt;&gt;""), "кг", "")</f>
        <v/>
      </c>
      <c r="AA113" s="147"/>
      <c r="AB113" s="3"/>
    </row>
    <row r="114" customFormat="false" ht="13.6" hidden="false" customHeight="true" outlineLevel="0" collapsed="false">
      <c r="B114" s="73"/>
      <c r="C114" s="74" t="str">
        <f aca="false">HYPERLINK("http://www.emi-penza.ru/p/140/", "1352.3768-02")</f>
        <v>1352.3768-02</v>
      </c>
      <c r="D114" s="75" t="s">
        <v>165</v>
      </c>
      <c r="E114" s="75"/>
      <c r="F114" s="75"/>
      <c r="G114" s="75" t="s">
        <v>136</v>
      </c>
      <c r="H114" s="75"/>
      <c r="I114" s="76"/>
      <c r="J114" s="76"/>
      <c r="K114" s="75" t="s">
        <v>166</v>
      </c>
      <c r="L114" s="75"/>
      <c r="M114" s="95" t="s">
        <v>167</v>
      </c>
      <c r="N114" s="77" t="n">
        <v>113</v>
      </c>
      <c r="O114" s="77" t="n">
        <f aca="false">ROUND(N114*1.2, 2)</f>
        <v>135.6</v>
      </c>
      <c r="R114" s="10"/>
      <c r="S114" s="78" t="n">
        <v>44</v>
      </c>
      <c r="T114" s="78"/>
      <c r="U114" s="79" t="n">
        <v>0</v>
      </c>
      <c r="V114" s="78"/>
      <c r="W114" s="80" t="str">
        <f aca="false">IF(OR(U114=0,N114=""), "", O114*ROUND(U114,0))</f>
        <v/>
      </c>
      <c r="X114" s="100" t="str">
        <f aca="false">IF(AND(N114="", U114&lt;&gt;""),"?",IF(AND(W114&lt;&gt;0,W114&lt;&gt;""), "р.", ""))</f>
        <v/>
      </c>
      <c r="Y114" s="82" t="str">
        <f aca="false">IF(AND(S114&gt;0,U114&gt;0), S114*ROUND(U114,0) / 1000, "")</f>
        <v/>
      </c>
      <c r="Z114" s="100" t="str">
        <f aca="false">IF(AND(Y114&lt;&gt;0,Y114&lt;&gt;""), "кг", "")</f>
        <v/>
      </c>
      <c r="AA114" s="10"/>
    </row>
    <row r="115" customFormat="false" ht="15" hidden="false" customHeight="true" outlineLevel="0" collapsed="false">
      <c r="B115" s="84"/>
      <c r="C115" s="85"/>
      <c r="D115" s="86"/>
      <c r="E115" s="86"/>
      <c r="F115" s="86"/>
      <c r="G115" s="86"/>
      <c r="H115" s="86"/>
      <c r="I115" s="87"/>
      <c r="J115" s="87"/>
      <c r="K115" s="86"/>
      <c r="L115" s="86"/>
      <c r="M115" s="97" t="s">
        <v>168</v>
      </c>
      <c r="N115" s="88" t="n">
        <v>121</v>
      </c>
      <c r="O115" s="88" t="n">
        <f aca="false">ROUND(N115*1.2, 2)</f>
        <v>145.2</v>
      </c>
      <c r="R115" s="10"/>
      <c r="S115" s="89" t="n">
        <v>44</v>
      </c>
      <c r="T115" s="89"/>
      <c r="U115" s="90" t="n">
        <v>0</v>
      </c>
      <c r="V115" s="89"/>
      <c r="W115" s="91" t="str">
        <f aca="false">IF(OR(U115=0,N115=""), "", O115*ROUND(U115,0))</f>
        <v/>
      </c>
      <c r="X115" s="101" t="str">
        <f aca="false">IF(AND(N115="", U115&lt;&gt;""),"?",IF(AND(W115&lt;&gt;0,W115&lt;&gt;""), "р.", ""))</f>
        <v/>
      </c>
      <c r="Y115" s="93" t="str">
        <f aca="false">IF(AND(S115&gt;0,U115&gt;0), S115*ROUND(U115,0) / 1000, "")</f>
        <v/>
      </c>
      <c r="Z115" s="101" t="str">
        <f aca="false">IF(AND(Y115&lt;&gt;0,Y115&lt;&gt;""), "кг", "")</f>
        <v/>
      </c>
      <c r="AA115" s="10"/>
    </row>
    <row r="116" customFormat="false" ht="18.15" hidden="false" customHeight="true" outlineLevel="0" collapsed="false">
      <c r="B116" s="61"/>
      <c r="C116" s="62" t="str">
        <f aca="false">HYPERLINK("http://www.emi-penza.ru/p/143/", "1352.3768-03")</f>
        <v>1352.3768-03</v>
      </c>
      <c r="D116" s="63" t="s">
        <v>169</v>
      </c>
      <c r="E116" s="63"/>
      <c r="F116" s="63"/>
      <c r="G116" s="63" t="s">
        <v>136</v>
      </c>
      <c r="H116" s="63"/>
      <c r="I116" s="64"/>
      <c r="J116" s="64"/>
      <c r="K116" s="63" t="s">
        <v>170</v>
      </c>
      <c r="L116" s="63"/>
      <c r="M116" s="63"/>
      <c r="N116" s="65" t="n">
        <v>103</v>
      </c>
      <c r="O116" s="65" t="n">
        <f aca="false">ROUND(N116*1.2, 2)</f>
        <v>123.6</v>
      </c>
      <c r="R116" s="10"/>
      <c r="S116" s="66" t="n">
        <v>44</v>
      </c>
      <c r="T116" s="66"/>
      <c r="U116" s="67" t="n">
        <v>0</v>
      </c>
      <c r="V116" s="66"/>
      <c r="W116" s="72" t="str">
        <f aca="false">IF(OR(U116=0,N116=""), "", O116*ROUND(U116,0))</f>
        <v/>
      </c>
      <c r="X116" s="99" t="str">
        <f aca="false">IF(AND(N116="", U116&lt;&gt;""),"?",IF(AND(W116&lt;&gt;0,W116&lt;&gt;""), "р.", ""))</f>
        <v/>
      </c>
      <c r="Y116" s="70" t="str">
        <f aca="false">IF(AND(S116&gt;0,U116&gt;0), S116*ROUND(U116,0) / 1000, "")</f>
        <v/>
      </c>
      <c r="Z116" s="99" t="str">
        <f aca="false">IF(AND(Y116&lt;&gt;0,Y116&lt;&gt;""), "кг", "")</f>
        <v/>
      </c>
      <c r="AA116" s="10"/>
    </row>
    <row r="117" customFormat="false" ht="18.15" hidden="false" customHeight="true" outlineLevel="0" collapsed="false">
      <c r="B117" s="61"/>
      <c r="C117" s="62" t="str">
        <f aca="false">HYPERLINK("http://www.emi-penza.ru/p/1352.3768-04_SO_M18", "1352.3768-04 СЗ М18")</f>
        <v>1352.3768-04 СЗ М18</v>
      </c>
      <c r="D117" s="63"/>
      <c r="E117" s="63"/>
      <c r="F117" s="63" t="s">
        <v>171</v>
      </c>
      <c r="G117" s="63"/>
      <c r="H117" s="64"/>
      <c r="I117" s="64"/>
      <c r="J117" s="64"/>
      <c r="K117" s="63" t="s">
        <v>116</v>
      </c>
      <c r="L117" s="64"/>
      <c r="M117" s="64"/>
      <c r="N117" s="126" t="n">
        <v>215</v>
      </c>
      <c r="O117" s="65" t="n">
        <f aca="false">ROUND(N117*1.2, 2)</f>
        <v>258</v>
      </c>
      <c r="P117" s="3"/>
      <c r="R117" s="147"/>
      <c r="S117" s="66" t="n">
        <v>60</v>
      </c>
      <c r="T117" s="66"/>
      <c r="U117" s="67" t="n">
        <v>0</v>
      </c>
      <c r="V117" s="66"/>
      <c r="W117" s="72" t="str">
        <f aca="false">IF(OR(U117=0,N117=""), "", O117*ROUND(U117,0))</f>
        <v/>
      </c>
      <c r="X117" s="99" t="str">
        <f aca="false">IF(AND(N117="", U117&lt;&gt;""),"?",IF(AND(W117&lt;&gt;0,W117&lt;&gt;""), "р.", ""))</f>
        <v/>
      </c>
      <c r="Y117" s="70" t="str">
        <f aca="false">IF(AND(S117&gt;0,U117&gt;0), S117*ROUND(U117,0) / 1000, "")</f>
        <v/>
      </c>
      <c r="Z117" s="99" t="str">
        <f aca="false">IF(AND(Y117&lt;&gt;0,Y117&lt;&gt;""), "кг", "")</f>
        <v/>
      </c>
      <c r="AA117" s="147"/>
      <c r="AB117" s="3"/>
    </row>
    <row r="118" customFormat="false" ht="13.6" hidden="false" customHeight="true" outlineLevel="0" collapsed="false">
      <c r="B118" s="73"/>
      <c r="C118" s="74" t="str">
        <f aca="false">HYPERLINK("http://www.emi-penza.ru/p/154/", "1352.3768-05")</f>
        <v>1352.3768-05</v>
      </c>
      <c r="D118" s="75" t="s">
        <v>172</v>
      </c>
      <c r="E118" s="75"/>
      <c r="F118" s="75"/>
      <c r="G118" s="75" t="s">
        <v>173</v>
      </c>
      <c r="H118" s="75"/>
      <c r="I118" s="76"/>
      <c r="J118" s="76"/>
      <c r="K118" s="75" t="s">
        <v>174</v>
      </c>
      <c r="L118" s="75"/>
      <c r="M118" s="95"/>
      <c r="N118" s="77" t="n">
        <v>195</v>
      </c>
      <c r="O118" s="77" t="n">
        <f aca="false">ROUND(N118*1.2, 2)</f>
        <v>234</v>
      </c>
      <c r="R118" s="10"/>
      <c r="S118" s="78" t="n">
        <v>41</v>
      </c>
      <c r="T118" s="78"/>
      <c r="U118" s="79" t="n">
        <v>0</v>
      </c>
      <c r="V118" s="78"/>
      <c r="W118" s="80" t="str">
        <f aca="false">IF(OR(U118=0,N118=""), "", O118*ROUND(U118,0))</f>
        <v/>
      </c>
      <c r="X118" s="100" t="str">
        <f aca="false">IF(AND(N118="", U118&lt;&gt;""),"?",IF(AND(W118&lt;&gt;0,W118&lt;&gt;""), "р.", ""))</f>
        <v/>
      </c>
      <c r="Y118" s="82" t="str">
        <f aca="false">IF(AND(S118&gt;0,U118&gt;0), S118*ROUND(U118,0) / 1000, "")</f>
        <v/>
      </c>
      <c r="Z118" s="100" t="str">
        <f aca="false">IF(AND(Y118&lt;&gt;0,Y118&lt;&gt;""), "кг", "")</f>
        <v/>
      </c>
      <c r="AA118" s="10"/>
    </row>
    <row r="119" customFormat="false" ht="15" hidden="false" customHeight="true" outlineLevel="0" collapsed="false">
      <c r="B119" s="84"/>
      <c r="C119" s="85"/>
      <c r="D119" s="86" t="s">
        <v>175</v>
      </c>
      <c r="E119" s="86"/>
      <c r="F119" s="86"/>
      <c r="G119" s="86" t="s">
        <v>30</v>
      </c>
      <c r="H119" s="86"/>
      <c r="I119" s="87"/>
      <c r="J119" s="87"/>
      <c r="K119" s="86"/>
      <c r="L119" s="86"/>
      <c r="M119" s="97"/>
      <c r="N119" s="88"/>
      <c r="O119" s="88"/>
      <c r="R119" s="10"/>
      <c r="S119" s="89"/>
      <c r="T119" s="89"/>
      <c r="U119" s="90"/>
      <c r="V119" s="89"/>
      <c r="W119" s="91" t="str">
        <f aca="false">IF(OR(U119=0,N119=""), "", O119*ROUND(U119,0))</f>
        <v/>
      </c>
      <c r="X119" s="101" t="str">
        <f aca="false">IF(AND(N119="", U119&lt;&gt;""),"?",IF(AND(W119&lt;&gt;0,W119&lt;&gt;""), "р.", ""))</f>
        <v/>
      </c>
      <c r="Y119" s="93" t="str">
        <f aca="false">IF(AND(S119&gt;0,U119&gt;0), S119*ROUND(U119,0) / 1000, "")</f>
        <v/>
      </c>
      <c r="Z119" s="101" t="str">
        <f aca="false">IF(AND(Y119&lt;&gt;0,Y119&lt;&gt;""), "кг", "")</f>
        <v/>
      </c>
      <c r="AA119" s="10"/>
    </row>
    <row r="120" customFormat="false" ht="18.15" hidden="false" customHeight="true" outlineLevel="0" collapsed="false">
      <c r="B120" s="61"/>
      <c r="C120" s="62" t="str">
        <f aca="false">HYPERLINK("http://www.emi-penza.ru/p/166/", "1352.3768-06")</f>
        <v>1352.3768-06</v>
      </c>
      <c r="D120" s="63"/>
      <c r="E120" s="63"/>
      <c r="F120" s="63"/>
      <c r="G120" s="63" t="s">
        <v>176</v>
      </c>
      <c r="H120" s="63"/>
      <c r="I120" s="64"/>
      <c r="J120" s="64"/>
      <c r="K120" s="63" t="s">
        <v>177</v>
      </c>
      <c r="L120" s="63"/>
      <c r="M120" s="63"/>
      <c r="N120" s="65" t="n">
        <v>197</v>
      </c>
      <c r="O120" s="65" t="n">
        <f aca="false">ROUND(N120*1.2, 2)</f>
        <v>236.4</v>
      </c>
      <c r="R120" s="10"/>
      <c r="S120" s="66" t="n">
        <v>50</v>
      </c>
      <c r="T120" s="66"/>
      <c r="U120" s="67" t="n">
        <v>0</v>
      </c>
      <c r="V120" s="66"/>
      <c r="W120" s="72" t="str">
        <f aca="false">IF(OR(U120=0,N120=""), "", O120*ROUND(U120,0))</f>
        <v/>
      </c>
      <c r="X120" s="99" t="str">
        <f aca="false">IF(AND(N120="", U120&lt;&gt;""),"?",IF(AND(W120&lt;&gt;0,W120&lt;&gt;""), "р.", ""))</f>
        <v/>
      </c>
      <c r="Y120" s="70" t="str">
        <f aca="false">IF(AND(S120&gt;0,U120&gt;0), S120*ROUND(U120,0) / 1000, "")</f>
        <v/>
      </c>
      <c r="Z120" s="99" t="str">
        <f aca="false">IF(AND(Y120&lt;&gt;0,Y120&lt;&gt;""), "кг", "")</f>
        <v/>
      </c>
      <c r="AA120" s="10"/>
    </row>
    <row r="121" customFormat="false" ht="13.6" hidden="false" customHeight="true" outlineLevel="0" collapsed="false">
      <c r="B121" s="73"/>
      <c r="C121" s="74" t="str">
        <f aca="false">HYPERLINK("http://www.emi-penza.ru/p/155/", "1352.3768-07")</f>
        <v>1352.3768-07</v>
      </c>
      <c r="D121" s="75" t="s">
        <v>178</v>
      </c>
      <c r="E121" s="75"/>
      <c r="F121" s="75"/>
      <c r="G121" s="75" t="s">
        <v>173</v>
      </c>
      <c r="H121" s="75"/>
      <c r="I121" s="76"/>
      <c r="J121" s="76"/>
      <c r="K121" s="75" t="s">
        <v>174</v>
      </c>
      <c r="L121" s="75"/>
      <c r="M121" s="95" t="s">
        <v>167</v>
      </c>
      <c r="N121" s="77" t="n">
        <v>158</v>
      </c>
      <c r="O121" s="77" t="n">
        <f aca="false">ROUND(N121*1.2, 2)</f>
        <v>189.6</v>
      </c>
      <c r="R121" s="10"/>
      <c r="S121" s="78" t="n">
        <v>41</v>
      </c>
      <c r="T121" s="78"/>
      <c r="U121" s="79" t="n">
        <v>0</v>
      </c>
      <c r="V121" s="78"/>
      <c r="W121" s="80" t="str">
        <f aca="false">IF(OR(U121=0,N121=""), "", O121*ROUND(U121,0))</f>
        <v/>
      </c>
      <c r="X121" s="100" t="str">
        <f aca="false">IF(AND(N121="", U121&lt;&gt;""),"?",IF(AND(W121&lt;&gt;0,W121&lt;&gt;""), "р.", ""))</f>
        <v/>
      </c>
      <c r="Y121" s="82" t="str">
        <f aca="false">IF(AND(S121&gt;0,U121&gt;0), S121*ROUND(U121,0) / 1000, "")</f>
        <v/>
      </c>
      <c r="Z121" s="100" t="str">
        <f aca="false">IF(AND(Y121&lt;&gt;0,Y121&lt;&gt;""), "кг", "")</f>
        <v/>
      </c>
      <c r="AA121" s="10"/>
    </row>
    <row r="122" customFormat="false" ht="15" hidden="false" customHeight="true" outlineLevel="0" collapsed="false">
      <c r="B122" s="84"/>
      <c r="C122" s="85"/>
      <c r="D122" s="86"/>
      <c r="E122" s="86"/>
      <c r="F122" s="86"/>
      <c r="G122" s="86"/>
      <c r="H122" s="86"/>
      <c r="I122" s="87"/>
      <c r="J122" s="87"/>
      <c r="K122" s="86"/>
      <c r="L122" s="86"/>
      <c r="M122" s="97" t="s">
        <v>168</v>
      </c>
      <c r="N122" s="88" t="n">
        <v>164</v>
      </c>
      <c r="O122" s="88" t="n">
        <f aca="false">ROUND(N122*1.2, 2)</f>
        <v>196.8</v>
      </c>
      <c r="R122" s="10"/>
      <c r="S122" s="89" t="n">
        <v>41</v>
      </c>
      <c r="T122" s="89"/>
      <c r="U122" s="90" t="n">
        <v>0</v>
      </c>
      <c r="V122" s="89"/>
      <c r="W122" s="91" t="str">
        <f aca="false">IF(OR(U122=0,N122=""), "", O122*ROUND(U122,0))</f>
        <v/>
      </c>
      <c r="X122" s="101" t="str">
        <f aca="false">IF(AND(N122="", U122&lt;&gt;""),"?",IF(AND(W122&lt;&gt;0,W122&lt;&gt;""), "р.", ""))</f>
        <v/>
      </c>
      <c r="Y122" s="93" t="str">
        <f aca="false">IF(AND(S122&gt;0,U122&gt;0), S122*ROUND(U122,0) / 1000, "")</f>
        <v/>
      </c>
      <c r="Z122" s="101" t="str">
        <f aca="false">IF(AND(Y122&lt;&gt;0,Y122&lt;&gt;""), "кг", "")</f>
        <v/>
      </c>
      <c r="AA122" s="10"/>
    </row>
    <row r="123" customFormat="false" ht="18.15" hidden="false" customHeight="true" outlineLevel="0" collapsed="false">
      <c r="B123" s="61"/>
      <c r="C123" s="62" t="str">
        <f aca="false">HYPERLINK("http://www.emi-penza.ru/p/171/", "1352.3768-08")</f>
        <v>1352.3768-08</v>
      </c>
      <c r="D123" s="63"/>
      <c r="E123" s="63"/>
      <c r="F123" s="63"/>
      <c r="G123" s="63" t="s">
        <v>136</v>
      </c>
      <c r="H123" s="63"/>
      <c r="I123" s="64"/>
      <c r="J123" s="64"/>
      <c r="K123" s="63" t="s">
        <v>179</v>
      </c>
      <c r="L123" s="63"/>
      <c r="M123" s="63"/>
      <c r="N123" s="65" t="n">
        <v>284</v>
      </c>
      <c r="O123" s="65" t="n">
        <f aca="false">ROUND(N123*1.2, 2)</f>
        <v>340.8</v>
      </c>
      <c r="R123" s="10"/>
      <c r="S123" s="66" t="n">
        <v>51</v>
      </c>
      <c r="T123" s="66"/>
      <c r="U123" s="67" t="n">
        <v>0</v>
      </c>
      <c r="V123" s="66"/>
      <c r="W123" s="72" t="str">
        <f aca="false">IF(OR(U123=0,N123=""), "", O123*ROUND(U123,0))</f>
        <v/>
      </c>
      <c r="X123" s="99" t="str">
        <f aca="false">IF(AND(N123="", U123&lt;&gt;""),"?",IF(AND(W123&lt;&gt;0,W123&lt;&gt;""), "р.", ""))</f>
        <v/>
      </c>
      <c r="Y123" s="70" t="str">
        <f aca="false">IF(AND(S123&gt;0,U123&gt;0), S123*ROUND(U123,0) / 1000, "")</f>
        <v/>
      </c>
      <c r="Z123" s="99" t="str">
        <f aca="false">IF(AND(Y123&lt;&gt;0,Y123&lt;&gt;""), "кг", "")</f>
        <v/>
      </c>
      <c r="AA123" s="10"/>
    </row>
    <row r="124" customFormat="false" ht="18.15" hidden="false" customHeight="true" outlineLevel="0" collapsed="false">
      <c r="B124" s="61"/>
      <c r="C124" s="62" t="str">
        <f aca="false">HYPERLINK("http://www.emi-penza.ru/p/1352.3768-08_SO", "1352.3768-08 СЗ")</f>
        <v>1352.3768-08 СЗ</v>
      </c>
      <c r="D124" s="63"/>
      <c r="E124" s="63"/>
      <c r="F124" s="63"/>
      <c r="G124" s="63" t="s">
        <v>136</v>
      </c>
      <c r="H124" s="63"/>
      <c r="I124" s="64"/>
      <c r="J124" s="64"/>
      <c r="K124" s="63" t="s">
        <v>111</v>
      </c>
      <c r="L124" s="63"/>
      <c r="M124" s="63"/>
      <c r="N124" s="65" t="n">
        <v>288</v>
      </c>
      <c r="O124" s="65" t="n">
        <f aca="false">ROUND(N124*1.2, 2)</f>
        <v>345.6</v>
      </c>
      <c r="R124" s="10"/>
      <c r="S124" s="66" t="n">
        <v>51</v>
      </c>
      <c r="T124" s="66"/>
      <c r="U124" s="67" t="n">
        <v>0</v>
      </c>
      <c r="V124" s="66"/>
      <c r="W124" s="72" t="str">
        <f aca="false">IF(OR(U124=0,N124=""), "", O124*ROUND(U124,0))</f>
        <v/>
      </c>
      <c r="X124" s="99" t="str">
        <f aca="false">IF(AND(N124="", U124&lt;&gt;""),"?",IF(AND(W124&lt;&gt;0,W124&lt;&gt;""), "р.", ""))</f>
        <v/>
      </c>
      <c r="Y124" s="70" t="str">
        <f aca="false">IF(AND(S124&gt;0,U124&gt;0), S124*ROUND(U124,0) / 1000, "")</f>
        <v/>
      </c>
      <c r="Z124" s="99" t="str">
        <f aca="false">IF(AND(Y124&lt;&gt;0,Y124&lt;&gt;""), "кг", "")</f>
        <v/>
      </c>
      <c r="AA124" s="10"/>
    </row>
    <row r="125" customFormat="false" ht="13.6" hidden="false" customHeight="true" outlineLevel="0" collapsed="false">
      <c r="B125" s="73"/>
      <c r="C125" s="74" t="str">
        <f aca="false">HYPERLINK("http://www.emi-penza.ru/p/157/", "1352.3768-09")</f>
        <v>1352.3768-09</v>
      </c>
      <c r="D125" s="75" t="s">
        <v>180</v>
      </c>
      <c r="E125" s="75"/>
      <c r="F125" s="75"/>
      <c r="G125" s="75" t="s">
        <v>141</v>
      </c>
      <c r="H125" s="75"/>
      <c r="I125" s="76"/>
      <c r="J125" s="76"/>
      <c r="K125" s="75" t="s">
        <v>181</v>
      </c>
      <c r="L125" s="75"/>
      <c r="M125" s="95"/>
      <c r="N125" s="77" t="n">
        <v>142</v>
      </c>
      <c r="O125" s="77" t="n">
        <f aca="false">ROUND(N125*1.2, 2)</f>
        <v>170.4</v>
      </c>
      <c r="R125" s="10"/>
      <c r="S125" s="78" t="n">
        <v>41</v>
      </c>
      <c r="T125" s="78"/>
      <c r="U125" s="79" t="n">
        <v>0</v>
      </c>
      <c r="V125" s="78"/>
      <c r="W125" s="80" t="str">
        <f aca="false">IF(OR(U125=0,N125=""), "", O125*ROUND(U125,0))</f>
        <v/>
      </c>
      <c r="X125" s="100" t="str">
        <f aca="false">IF(AND(N125="", U125&lt;&gt;""),"?",IF(AND(W125&lt;&gt;0,W125&lt;&gt;""), "р.", ""))</f>
        <v/>
      </c>
      <c r="Y125" s="82" t="str">
        <f aca="false">IF(AND(S125&gt;0,U125&gt;0), S125*ROUND(U125,0) / 1000, "")</f>
        <v/>
      </c>
      <c r="Z125" s="100" t="str">
        <f aca="false">IF(AND(Y125&lt;&gt;0,Y125&lt;&gt;""), "кг", "")</f>
        <v/>
      </c>
      <c r="AA125" s="10"/>
    </row>
    <row r="126" customFormat="false" ht="15" hidden="false" customHeight="true" outlineLevel="0" collapsed="false">
      <c r="B126" s="84"/>
      <c r="C126" s="85"/>
      <c r="D126" s="148" t="s">
        <v>182</v>
      </c>
      <c r="E126" s="86"/>
      <c r="F126" s="86"/>
      <c r="G126" s="86" t="s">
        <v>183</v>
      </c>
      <c r="H126" s="86"/>
      <c r="I126" s="87"/>
      <c r="J126" s="87"/>
      <c r="K126" s="86" t="s">
        <v>184</v>
      </c>
      <c r="L126" s="86"/>
      <c r="M126" s="97"/>
      <c r="N126" s="88"/>
      <c r="O126" s="88"/>
      <c r="R126" s="10"/>
      <c r="S126" s="89"/>
      <c r="T126" s="89"/>
      <c r="U126" s="90"/>
      <c r="V126" s="89"/>
      <c r="W126" s="91" t="str">
        <f aca="false">IF(OR(U126=0,N126=""), "", O126*ROUND(U126,0))</f>
        <v/>
      </c>
      <c r="X126" s="101" t="str">
        <f aca="false">IF(AND(N126="", U126&lt;&gt;""),"?",IF(AND(W126&lt;&gt;0,W126&lt;&gt;""), "р.", ""))</f>
        <v/>
      </c>
      <c r="Y126" s="93" t="str">
        <f aca="false">IF(AND(S126&gt;0,U126&gt;0), S126*ROUND(U126,0) / 1000, "")</f>
        <v/>
      </c>
      <c r="Z126" s="101" t="str">
        <f aca="false">IF(AND(Y126&lt;&gt;0,Y126&lt;&gt;""), "кг", "")</f>
        <v/>
      </c>
      <c r="AA126" s="10"/>
    </row>
    <row r="127" customFormat="false" ht="18.15" hidden="false" customHeight="true" outlineLevel="0" collapsed="false">
      <c r="B127" s="61"/>
      <c r="C127" s="62" t="str">
        <f aca="false">HYPERLINK("http://www.emi-penza.ru/p/172/", "1352.3768-10")</f>
        <v>1352.3768-10</v>
      </c>
      <c r="D127" s="63"/>
      <c r="E127" s="63"/>
      <c r="F127" s="63"/>
      <c r="G127" s="63" t="s">
        <v>136</v>
      </c>
      <c r="H127" s="63"/>
      <c r="I127" s="64"/>
      <c r="J127" s="64"/>
      <c r="K127" s="63" t="s">
        <v>185</v>
      </c>
      <c r="L127" s="63"/>
      <c r="M127" s="63"/>
      <c r="N127" s="65" t="n">
        <v>212</v>
      </c>
      <c r="O127" s="65" t="n">
        <f aca="false">ROUND(N127*1.2, 2)</f>
        <v>254.4</v>
      </c>
      <c r="R127" s="10"/>
      <c r="S127" s="66" t="n">
        <v>41</v>
      </c>
      <c r="T127" s="66"/>
      <c r="U127" s="67" t="n">
        <v>0</v>
      </c>
      <c r="V127" s="66"/>
      <c r="W127" s="72" t="str">
        <f aca="false">IF(OR(U127=0,N127=""), "", O127*ROUND(U127,0))</f>
        <v/>
      </c>
      <c r="X127" s="99" t="str">
        <f aca="false">IF(AND(N127="", U127&lt;&gt;""),"?",IF(AND(W127&lt;&gt;0,W127&lt;&gt;""), "р.", ""))</f>
        <v/>
      </c>
      <c r="Y127" s="70" t="str">
        <f aca="false">IF(AND(S127&gt;0,U127&gt;0), S127*ROUND(U127,0) / 1000, "")</f>
        <v/>
      </c>
      <c r="Z127" s="99" t="str">
        <f aca="false">IF(AND(Y127&lt;&gt;0,Y127&lt;&gt;""), "кг", "")</f>
        <v/>
      </c>
      <c r="AA127" s="10"/>
    </row>
    <row r="128" customFormat="false" ht="18.15" hidden="false" customHeight="true" outlineLevel="0" collapsed="false">
      <c r="B128" s="61"/>
      <c r="C128" s="62" t="str">
        <f aca="false">HYPERLINK("https://www.emi-penza.ru/p/1352.3768-20", "1352.3768-20")</f>
        <v>1352.3768-20</v>
      </c>
      <c r="D128" s="63"/>
      <c r="E128" s="63"/>
      <c r="F128" s="63"/>
      <c r="G128" s="63" t="s">
        <v>186</v>
      </c>
      <c r="H128" s="63"/>
      <c r="I128" s="64"/>
      <c r="J128" s="64"/>
      <c r="K128" s="63" t="s">
        <v>116</v>
      </c>
      <c r="L128" s="63"/>
      <c r="M128" s="63"/>
      <c r="N128" s="65" t="n">
        <v>289</v>
      </c>
      <c r="O128" s="65" t="n">
        <f aca="false">ROUND(N128*1.2, 2)</f>
        <v>346.8</v>
      </c>
      <c r="R128" s="10"/>
      <c r="S128" s="66" t="n">
        <v>40</v>
      </c>
      <c r="T128" s="66"/>
      <c r="U128" s="67" t="n">
        <v>0</v>
      </c>
      <c r="V128" s="66"/>
      <c r="W128" s="72" t="str">
        <f aca="false">IF(OR(U128=0,N128=""), "", O128*ROUND(U128,0))</f>
        <v/>
      </c>
      <c r="X128" s="99" t="str">
        <f aca="false">IF(AND(N128="", U128&lt;&gt;""),"?",IF(AND(W128&lt;&gt;0,W128&lt;&gt;""), "р.", ""))</f>
        <v/>
      </c>
      <c r="Y128" s="70" t="str">
        <f aca="false">IF(AND(S128&gt;0,U128&gt;0), S128*ROUND(U128,0) / 1000, "")</f>
        <v/>
      </c>
      <c r="Z128" s="99" t="str">
        <f aca="false">IF(AND(Y128&lt;&gt;0,Y128&lt;&gt;""), "кг", "")</f>
        <v/>
      </c>
      <c r="AA128" s="10"/>
    </row>
    <row r="129" customFormat="false" ht="18.15" hidden="false" customHeight="true" outlineLevel="0" collapsed="false">
      <c r="B129" s="61"/>
      <c r="C129" s="149" t="str">
        <f aca="false">HYPERLINK("http://www.emi-penza.ru/p/119/", "1362.3768")</f>
        <v>1362.3768</v>
      </c>
      <c r="D129" s="146" t="s">
        <v>187</v>
      </c>
      <c r="E129" s="146"/>
      <c r="F129" s="146"/>
      <c r="G129" s="146" t="s">
        <v>136</v>
      </c>
      <c r="H129" s="146"/>
      <c r="I129" s="150"/>
      <c r="J129" s="150"/>
      <c r="K129" s="146" t="s">
        <v>188</v>
      </c>
      <c r="L129" s="146"/>
      <c r="M129" s="146"/>
      <c r="N129" s="151" t="n">
        <v>171</v>
      </c>
      <c r="O129" s="151" t="n">
        <f aca="false">ROUND(N129*1.2, 2)</f>
        <v>205.2</v>
      </c>
      <c r="R129" s="10"/>
      <c r="S129" s="152" t="n">
        <v>77</v>
      </c>
      <c r="T129" s="152"/>
      <c r="U129" s="153" t="n">
        <v>0</v>
      </c>
      <c r="V129" s="152"/>
      <c r="W129" s="154" t="str">
        <f aca="false">IF(OR(U129=0,N129=""), "", O129*ROUND(U129,0))</f>
        <v/>
      </c>
      <c r="X129" s="155" t="str">
        <f aca="false">IF(AND(N129="", U129&lt;&gt;""),"?",IF(AND(W129&lt;&gt;0,W129&lt;&gt;""), "р.", ""))</f>
        <v/>
      </c>
      <c r="Y129" s="156" t="str">
        <f aca="false">IF(AND(S129&gt;0,U129&gt;0), S129*ROUND(U129,0) / 1000, "")</f>
        <v/>
      </c>
      <c r="Z129" s="155" t="str">
        <f aca="false">IF(AND(Y129&lt;&gt;0,Y129&lt;&gt;""), "кг", "")</f>
        <v/>
      </c>
      <c r="AA129" s="10"/>
    </row>
    <row r="130" customFormat="false" ht="9.95" hidden="false" customHeight="true" outlineLevel="0" collapsed="false">
      <c r="B130" s="3"/>
      <c r="R130" s="10"/>
      <c r="S130" s="136"/>
      <c r="T130" s="136"/>
      <c r="U130" s="137"/>
      <c r="V130" s="136"/>
      <c r="W130" s="12" t="str">
        <f aca="false">IF(OR(U130=0,N130=""), "", O130*ROUND(U130,0))</f>
        <v/>
      </c>
      <c r="X130" s="143" t="str">
        <f aca="false">IF(AND(N130="", U130&lt;&gt;""),"?",IF(AND(W130&lt;&gt;0,W130&lt;&gt;""), "р.", ""))</f>
        <v/>
      </c>
      <c r="Y130" s="14" t="str">
        <f aca="false">IF(AND(S130&gt;0,U130&gt;0), S130*ROUND(U130,0) / 1000, "")</f>
        <v/>
      </c>
      <c r="Z130" s="143" t="str">
        <f aca="false">IF(AND(Y130&lt;&gt;0,Y130&lt;&gt;""), "кг", "")</f>
        <v/>
      </c>
      <c r="AA130" s="10"/>
    </row>
    <row r="131" customFormat="false" ht="22.7" hidden="false" customHeight="true" outlineLevel="0" collapsed="false">
      <c r="B131" s="3"/>
      <c r="C131" s="51" t="s">
        <v>189</v>
      </c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3"/>
      <c r="O131" s="53"/>
      <c r="R131" s="10"/>
      <c r="S131" s="138"/>
      <c r="T131" s="138"/>
      <c r="U131" s="79"/>
      <c r="V131" s="157"/>
      <c r="W131" s="80"/>
      <c r="X131" s="80"/>
      <c r="Y131" s="80"/>
      <c r="Z131" s="80"/>
      <c r="AA131" s="80"/>
    </row>
    <row r="132" customFormat="false" ht="2.85" hidden="false" customHeight="true" outlineLevel="0" collapsed="false">
      <c r="B132" s="3"/>
      <c r="R132" s="10"/>
      <c r="S132" s="136"/>
      <c r="T132" s="136"/>
      <c r="U132" s="79"/>
      <c r="V132" s="80"/>
      <c r="W132" s="80"/>
      <c r="X132" s="80"/>
      <c r="Y132" s="80"/>
      <c r="Z132" s="80"/>
      <c r="AA132" s="80"/>
    </row>
    <row r="133" customFormat="false" ht="53.15" hidden="false" customHeight="true" outlineLevel="0" collapsed="false">
      <c r="B133" s="158"/>
      <c r="C133" s="159" t="s">
        <v>190</v>
      </c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 t="n">
        <f aca="false">ROUND(N133*1.2, 2)</f>
        <v>0</v>
      </c>
      <c r="P133" s="160"/>
      <c r="R133" s="161"/>
      <c r="S133" s="161"/>
      <c r="T133" s="161"/>
      <c r="U133" s="162"/>
      <c r="V133" s="163"/>
      <c r="W133" s="163"/>
      <c r="X133" s="163"/>
      <c r="Y133" s="163"/>
      <c r="Z133" s="163"/>
      <c r="AA133" s="163"/>
      <c r="AB133" s="160"/>
      <c r="AC133" s="160"/>
      <c r="AD133" s="160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4"/>
      <c r="BB133" s="164"/>
      <c r="BC133" s="164"/>
      <c r="BD133" s="164"/>
      <c r="BE133" s="164"/>
      <c r="BF133" s="164"/>
      <c r="BG133" s="164"/>
      <c r="BH133" s="164"/>
      <c r="BI133" s="164"/>
      <c r="BJ133" s="164"/>
      <c r="BK133" s="164"/>
      <c r="BL133" s="164"/>
      <c r="BM133" s="164"/>
      <c r="BN133" s="164"/>
      <c r="BO133" s="164"/>
      <c r="BP133" s="164"/>
      <c r="BQ133" s="164"/>
      <c r="BR133" s="164"/>
      <c r="BS133" s="164"/>
      <c r="BT133" s="164"/>
      <c r="BU133" s="164"/>
      <c r="BV133" s="164"/>
      <c r="BW133" s="164"/>
      <c r="BX133" s="164"/>
      <c r="BY133" s="164"/>
      <c r="BZ133" s="164"/>
      <c r="CA133" s="164"/>
      <c r="CB133" s="164"/>
      <c r="CC133" s="164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4"/>
      <c r="CO133" s="164"/>
      <c r="CP133" s="164"/>
      <c r="CQ133" s="164"/>
      <c r="CR133" s="164"/>
      <c r="CS133" s="164"/>
      <c r="CT133" s="164"/>
      <c r="CU133" s="164"/>
      <c r="CV133" s="164"/>
      <c r="CW133" s="164"/>
      <c r="CX133" s="164"/>
      <c r="CY133" s="164"/>
      <c r="CZ133" s="164"/>
      <c r="DA133" s="164"/>
      <c r="DB133" s="164"/>
      <c r="DC133" s="164"/>
      <c r="DD133" s="164"/>
      <c r="DE133" s="164"/>
      <c r="DF133" s="164"/>
      <c r="DG133" s="164"/>
      <c r="DH133" s="164"/>
      <c r="DI133" s="164"/>
      <c r="DJ133" s="164"/>
      <c r="DK133" s="164"/>
      <c r="DL133" s="164"/>
      <c r="DM133" s="164"/>
      <c r="DN133" s="164"/>
      <c r="DO133" s="164"/>
      <c r="DP133" s="164"/>
      <c r="DQ133" s="164"/>
      <c r="DR133" s="164"/>
      <c r="DS133" s="164"/>
      <c r="DT133" s="164"/>
      <c r="DU133" s="164"/>
      <c r="DV133" s="164"/>
      <c r="DW133" s="164"/>
      <c r="DX133" s="164"/>
      <c r="DY133" s="164"/>
      <c r="DZ133" s="164"/>
      <c r="EA133" s="164"/>
      <c r="EB133" s="164"/>
      <c r="EC133" s="164"/>
      <c r="ED133" s="164"/>
      <c r="EE133" s="164"/>
      <c r="EF133" s="164"/>
      <c r="EG133" s="164"/>
      <c r="EH133" s="164"/>
      <c r="EI133" s="164"/>
      <c r="EJ133" s="164"/>
      <c r="EK133" s="164"/>
      <c r="EL133" s="164"/>
      <c r="EM133" s="164"/>
      <c r="EN133" s="164"/>
      <c r="EO133" s="164"/>
      <c r="EP133" s="164"/>
      <c r="EQ133" s="164"/>
      <c r="ER133" s="164"/>
      <c r="ES133" s="164"/>
      <c r="ET133" s="164"/>
      <c r="EU133" s="164"/>
      <c r="EV133" s="164"/>
      <c r="EW133" s="164"/>
      <c r="EX133" s="164"/>
      <c r="EY133" s="164"/>
      <c r="EZ133" s="164"/>
      <c r="FA133" s="164"/>
      <c r="FB133" s="164"/>
      <c r="FC133" s="164"/>
      <c r="FD133" s="164"/>
      <c r="FE133" s="164"/>
      <c r="FF133" s="164"/>
      <c r="FG133" s="164"/>
      <c r="FH133" s="164"/>
      <c r="FI133" s="164"/>
      <c r="FJ133" s="164"/>
      <c r="FK133" s="164"/>
      <c r="FL133" s="164"/>
      <c r="FM133" s="164"/>
      <c r="FN133" s="164"/>
      <c r="FO133" s="164"/>
      <c r="FP133" s="164"/>
      <c r="FQ133" s="164"/>
      <c r="FR133" s="164"/>
      <c r="FS133" s="164"/>
      <c r="FT133" s="164"/>
      <c r="FU133" s="164"/>
      <c r="FV133" s="164"/>
      <c r="FW133" s="164"/>
      <c r="FX133" s="164"/>
      <c r="FY133" s="164"/>
      <c r="FZ133" s="164"/>
      <c r="GA133" s="164"/>
      <c r="GB133" s="164"/>
      <c r="GC133" s="164"/>
      <c r="GD133" s="164"/>
      <c r="GE133" s="164"/>
      <c r="GF133" s="164"/>
      <c r="GG133" s="164"/>
      <c r="GH133" s="164"/>
      <c r="GI133" s="164"/>
      <c r="GJ133" s="164"/>
      <c r="GK133" s="164"/>
      <c r="GL133" s="164"/>
      <c r="GM133" s="164"/>
      <c r="GN133" s="164"/>
      <c r="GO133" s="164"/>
      <c r="GP133" s="164"/>
      <c r="GQ133" s="164"/>
      <c r="GR133" s="164"/>
      <c r="GS133" s="164"/>
      <c r="GT133" s="164"/>
      <c r="GU133" s="164"/>
      <c r="GV133" s="164"/>
      <c r="GW133" s="164"/>
      <c r="GX133" s="164"/>
      <c r="GY133" s="164"/>
      <c r="GZ133" s="164"/>
      <c r="HA133" s="164"/>
      <c r="HB133" s="164"/>
      <c r="HC133" s="164"/>
      <c r="HD133" s="164"/>
      <c r="HE133" s="164"/>
      <c r="HF133" s="164"/>
      <c r="HG133" s="164"/>
      <c r="HH133" s="164"/>
      <c r="HI133" s="164"/>
      <c r="HJ133" s="164"/>
      <c r="HK133" s="164"/>
      <c r="HL133" s="164"/>
      <c r="HM133" s="164"/>
      <c r="HN133" s="164"/>
      <c r="HO133" s="164"/>
      <c r="HP133" s="164"/>
      <c r="HQ133" s="164"/>
      <c r="HR133" s="164"/>
      <c r="HS133" s="164"/>
      <c r="HT133" s="164"/>
      <c r="HU133" s="164"/>
      <c r="HV133" s="164"/>
      <c r="HW133" s="164"/>
      <c r="HX133" s="164"/>
      <c r="HY133" s="164"/>
      <c r="HZ133" s="164"/>
      <c r="IA133" s="164"/>
      <c r="IB133" s="164"/>
      <c r="IC133" s="164"/>
      <c r="ID133" s="164"/>
      <c r="IE133" s="164"/>
      <c r="IF133" s="164"/>
      <c r="IG133" s="164"/>
      <c r="IH133" s="164"/>
      <c r="II133" s="164"/>
      <c r="IJ133" s="164"/>
      <c r="IK133" s="164"/>
      <c r="IL133" s="164"/>
      <c r="IM133" s="164"/>
      <c r="IN133" s="164"/>
      <c r="IO133" s="164"/>
      <c r="IP133" s="164"/>
      <c r="IQ133" s="164"/>
      <c r="IR133" s="164"/>
      <c r="IS133" s="164"/>
      <c r="IT133" s="164"/>
      <c r="IU133" s="164"/>
      <c r="IV133" s="164"/>
      <c r="IW133" s="164"/>
      <c r="IX133" s="164"/>
      <c r="IY133" s="164"/>
      <c r="IZ133" s="164"/>
      <c r="JA133" s="164"/>
      <c r="JB133" s="164"/>
      <c r="JC133" s="164"/>
      <c r="JD133" s="164"/>
      <c r="JE133" s="164"/>
      <c r="JF133" s="164"/>
      <c r="JG133" s="164"/>
      <c r="JH133" s="164"/>
      <c r="JI133" s="164"/>
      <c r="JJ133" s="164"/>
      <c r="JK133" s="164"/>
      <c r="JL133" s="164"/>
      <c r="JM133" s="164"/>
      <c r="JN133" s="164"/>
      <c r="JO133" s="164"/>
      <c r="JP133" s="164"/>
      <c r="JQ133" s="164"/>
      <c r="JR133" s="164"/>
      <c r="JS133" s="164"/>
      <c r="JT133" s="164"/>
      <c r="JU133" s="164"/>
      <c r="JV133" s="164"/>
      <c r="JW133" s="164"/>
      <c r="JX133" s="164"/>
      <c r="JY133" s="164"/>
      <c r="JZ133" s="164"/>
      <c r="KA133" s="164"/>
      <c r="KB133" s="164"/>
      <c r="KC133" s="164"/>
      <c r="KD133" s="164"/>
      <c r="KE133" s="164"/>
      <c r="KF133" s="164"/>
      <c r="KG133" s="164"/>
      <c r="KH133" s="164"/>
      <c r="KI133" s="164"/>
      <c r="KJ133" s="164"/>
      <c r="KK133" s="164"/>
      <c r="KL133" s="164"/>
      <c r="KM133" s="164"/>
      <c r="KN133" s="164"/>
      <c r="KO133" s="164"/>
      <c r="KP133" s="164"/>
      <c r="KQ133" s="164"/>
      <c r="KR133" s="164"/>
      <c r="KS133" s="164"/>
      <c r="KT133" s="164"/>
      <c r="KU133" s="164"/>
      <c r="KV133" s="164"/>
      <c r="KW133" s="164"/>
      <c r="KX133" s="164"/>
      <c r="KY133" s="164"/>
      <c r="KZ133" s="164"/>
      <c r="LA133" s="164"/>
      <c r="LB133" s="164"/>
      <c r="LC133" s="164"/>
      <c r="LD133" s="164"/>
      <c r="LE133" s="164"/>
      <c r="LF133" s="164"/>
      <c r="LG133" s="164"/>
      <c r="LH133" s="164"/>
      <c r="LI133" s="164"/>
      <c r="LJ133" s="164"/>
      <c r="LK133" s="164"/>
      <c r="LL133" s="164"/>
      <c r="LM133" s="164"/>
      <c r="LN133" s="164"/>
      <c r="LO133" s="164"/>
      <c r="LP133" s="164"/>
      <c r="LQ133" s="164"/>
      <c r="LR133" s="164"/>
      <c r="LS133" s="164"/>
      <c r="LT133" s="164"/>
      <c r="LU133" s="164"/>
      <c r="LV133" s="164"/>
      <c r="LW133" s="164"/>
      <c r="LX133" s="164"/>
      <c r="LY133" s="164"/>
      <c r="LZ133" s="164"/>
      <c r="MA133" s="164"/>
      <c r="MB133" s="164"/>
      <c r="MC133" s="164"/>
      <c r="MD133" s="164"/>
      <c r="ME133" s="164"/>
      <c r="MF133" s="164"/>
      <c r="MG133" s="164"/>
      <c r="MH133" s="164"/>
      <c r="MI133" s="164"/>
      <c r="MJ133" s="164"/>
      <c r="MK133" s="164"/>
      <c r="ML133" s="164"/>
      <c r="MM133" s="164"/>
      <c r="MN133" s="164"/>
      <c r="MO133" s="164"/>
      <c r="MP133" s="164"/>
      <c r="MQ133" s="164"/>
      <c r="MR133" s="164"/>
      <c r="MS133" s="164"/>
      <c r="MT133" s="164"/>
      <c r="MU133" s="164"/>
      <c r="MV133" s="164"/>
      <c r="MW133" s="164"/>
      <c r="MX133" s="164"/>
      <c r="MY133" s="164"/>
      <c r="MZ133" s="164"/>
      <c r="NA133" s="164"/>
      <c r="NB133" s="164"/>
      <c r="NC133" s="164"/>
      <c r="ND133" s="164"/>
      <c r="NE133" s="164"/>
      <c r="NF133" s="164"/>
      <c r="NG133" s="164"/>
      <c r="NH133" s="164"/>
      <c r="NI133" s="164"/>
      <c r="NJ133" s="164"/>
      <c r="NK133" s="164"/>
      <c r="NL133" s="164"/>
      <c r="NM133" s="164"/>
      <c r="NN133" s="164"/>
      <c r="NO133" s="164"/>
      <c r="NP133" s="164"/>
      <c r="NQ133" s="164"/>
      <c r="NR133" s="164"/>
      <c r="NS133" s="164"/>
      <c r="NT133" s="164"/>
      <c r="NU133" s="164"/>
      <c r="NV133" s="164"/>
      <c r="NW133" s="164"/>
      <c r="NX133" s="164"/>
      <c r="NY133" s="164"/>
      <c r="NZ133" s="164"/>
      <c r="OA133" s="164"/>
      <c r="OB133" s="164"/>
      <c r="OC133" s="164"/>
      <c r="OD133" s="164"/>
      <c r="OE133" s="164"/>
      <c r="OF133" s="164"/>
      <c r="OG133" s="164"/>
      <c r="OH133" s="164"/>
      <c r="OI133" s="164"/>
      <c r="OJ133" s="164"/>
      <c r="OK133" s="164"/>
      <c r="OL133" s="164"/>
      <c r="OM133" s="164"/>
      <c r="ON133" s="164"/>
      <c r="OO133" s="164"/>
      <c r="OP133" s="164"/>
      <c r="OQ133" s="164"/>
      <c r="OR133" s="164"/>
      <c r="OS133" s="164"/>
      <c r="OT133" s="164"/>
      <c r="OU133" s="164"/>
      <c r="OV133" s="164"/>
      <c r="OW133" s="164"/>
      <c r="OX133" s="164"/>
      <c r="OY133" s="164"/>
      <c r="OZ133" s="164"/>
      <c r="PA133" s="164"/>
      <c r="PB133" s="164"/>
      <c r="PC133" s="164"/>
      <c r="PD133" s="164"/>
      <c r="PE133" s="164"/>
      <c r="PF133" s="164"/>
      <c r="PG133" s="164"/>
      <c r="PH133" s="164"/>
      <c r="PI133" s="164"/>
      <c r="PJ133" s="164"/>
      <c r="PK133" s="164"/>
      <c r="PL133" s="164"/>
      <c r="PM133" s="164"/>
      <c r="PN133" s="164"/>
      <c r="PO133" s="164"/>
      <c r="PP133" s="164"/>
      <c r="PQ133" s="164"/>
      <c r="PR133" s="164"/>
      <c r="PS133" s="164"/>
      <c r="PT133" s="164"/>
      <c r="PU133" s="164"/>
      <c r="PV133" s="164"/>
      <c r="PW133" s="164"/>
      <c r="PX133" s="164"/>
      <c r="PY133" s="164"/>
      <c r="PZ133" s="164"/>
      <c r="QA133" s="164"/>
      <c r="QB133" s="164"/>
      <c r="QC133" s="164"/>
      <c r="QD133" s="164"/>
      <c r="QE133" s="164"/>
      <c r="QF133" s="164"/>
      <c r="QG133" s="164"/>
      <c r="QH133" s="164"/>
      <c r="QI133" s="164"/>
      <c r="QJ133" s="164"/>
      <c r="QK133" s="164"/>
      <c r="QL133" s="164"/>
      <c r="QM133" s="164"/>
      <c r="QN133" s="164"/>
      <c r="QO133" s="164"/>
      <c r="QP133" s="164"/>
      <c r="QQ133" s="164"/>
      <c r="QR133" s="164"/>
      <c r="QS133" s="164"/>
      <c r="QT133" s="164"/>
      <c r="QU133" s="164"/>
      <c r="QV133" s="164"/>
      <c r="QW133" s="164"/>
      <c r="QX133" s="164"/>
      <c r="QY133" s="164"/>
      <c r="QZ133" s="164"/>
      <c r="RA133" s="164"/>
      <c r="RB133" s="164"/>
      <c r="RC133" s="164"/>
      <c r="RD133" s="164"/>
      <c r="RE133" s="164"/>
      <c r="RF133" s="164"/>
      <c r="RG133" s="164"/>
      <c r="RH133" s="164"/>
      <c r="RI133" s="164"/>
      <c r="RJ133" s="164"/>
      <c r="RK133" s="164"/>
      <c r="RL133" s="164"/>
      <c r="RM133" s="164"/>
      <c r="RN133" s="164"/>
      <c r="RO133" s="164"/>
      <c r="RP133" s="164"/>
      <c r="RQ133" s="164"/>
      <c r="RR133" s="164"/>
      <c r="RS133" s="164"/>
      <c r="RT133" s="164"/>
      <c r="RU133" s="164"/>
      <c r="RV133" s="164"/>
      <c r="RW133" s="164"/>
      <c r="RX133" s="164"/>
      <c r="RY133" s="164"/>
      <c r="RZ133" s="164"/>
      <c r="SA133" s="164"/>
      <c r="SB133" s="164"/>
      <c r="SC133" s="164"/>
      <c r="SD133" s="164"/>
      <c r="SE133" s="164"/>
      <c r="SF133" s="164"/>
      <c r="SG133" s="164"/>
      <c r="SH133" s="164"/>
      <c r="SI133" s="164"/>
      <c r="SJ133" s="164"/>
      <c r="SK133" s="164"/>
      <c r="SL133" s="164"/>
      <c r="SM133" s="164"/>
      <c r="SN133" s="164"/>
      <c r="SO133" s="164"/>
      <c r="SP133" s="164"/>
      <c r="SQ133" s="164"/>
      <c r="SR133" s="164"/>
      <c r="SS133" s="164"/>
      <c r="ST133" s="164"/>
      <c r="SU133" s="164"/>
      <c r="SV133" s="164"/>
      <c r="SW133" s="164"/>
      <c r="SX133" s="164"/>
      <c r="SY133" s="164"/>
      <c r="SZ133" s="164"/>
      <c r="TA133" s="164"/>
      <c r="TB133" s="164"/>
      <c r="TC133" s="164"/>
      <c r="TD133" s="164"/>
      <c r="TE133" s="164"/>
      <c r="TF133" s="164"/>
      <c r="TG133" s="164"/>
      <c r="TH133" s="164"/>
      <c r="TI133" s="164"/>
      <c r="TJ133" s="164"/>
      <c r="TK133" s="164"/>
      <c r="TL133" s="164"/>
      <c r="TM133" s="164"/>
      <c r="TN133" s="164"/>
      <c r="TO133" s="164"/>
      <c r="TP133" s="164"/>
      <c r="TQ133" s="164"/>
      <c r="TR133" s="164"/>
      <c r="TS133" s="164"/>
      <c r="TT133" s="164"/>
      <c r="TU133" s="164"/>
      <c r="TV133" s="164"/>
      <c r="TW133" s="164"/>
      <c r="TX133" s="164"/>
      <c r="TY133" s="164"/>
      <c r="TZ133" s="164"/>
      <c r="UA133" s="164"/>
      <c r="UB133" s="164"/>
      <c r="UC133" s="164"/>
      <c r="UD133" s="164"/>
      <c r="UE133" s="164"/>
      <c r="UF133" s="164"/>
      <c r="UG133" s="164"/>
      <c r="UH133" s="164"/>
      <c r="UI133" s="164"/>
      <c r="UJ133" s="164"/>
      <c r="UK133" s="164"/>
      <c r="UL133" s="164"/>
      <c r="UM133" s="164"/>
      <c r="UN133" s="164"/>
      <c r="UO133" s="164"/>
      <c r="UP133" s="164"/>
      <c r="UQ133" s="164"/>
      <c r="UR133" s="164"/>
      <c r="US133" s="164"/>
      <c r="UT133" s="164"/>
      <c r="UU133" s="164"/>
      <c r="UV133" s="164"/>
      <c r="UW133" s="164"/>
      <c r="UX133" s="164"/>
      <c r="UY133" s="164"/>
      <c r="UZ133" s="164"/>
      <c r="VA133" s="164"/>
      <c r="VB133" s="164"/>
      <c r="VC133" s="164"/>
      <c r="VD133" s="164"/>
      <c r="VE133" s="164"/>
      <c r="VF133" s="164"/>
      <c r="VG133" s="164"/>
      <c r="VH133" s="164"/>
      <c r="VI133" s="164"/>
      <c r="VJ133" s="164"/>
      <c r="VK133" s="164"/>
      <c r="VL133" s="164"/>
      <c r="VM133" s="164"/>
      <c r="VN133" s="164"/>
      <c r="VO133" s="164"/>
      <c r="VP133" s="164"/>
      <c r="VQ133" s="164"/>
      <c r="VR133" s="164"/>
      <c r="VS133" s="164"/>
      <c r="VT133" s="164"/>
      <c r="VU133" s="164"/>
      <c r="VV133" s="164"/>
      <c r="VW133" s="164"/>
      <c r="VX133" s="164"/>
      <c r="VY133" s="164"/>
      <c r="VZ133" s="164"/>
      <c r="WA133" s="164"/>
      <c r="WB133" s="164"/>
      <c r="WC133" s="164"/>
      <c r="WD133" s="164"/>
      <c r="WE133" s="164"/>
      <c r="WF133" s="164"/>
      <c r="WG133" s="164"/>
      <c r="WH133" s="164"/>
      <c r="WI133" s="164"/>
      <c r="WJ133" s="164"/>
      <c r="WK133" s="164"/>
      <c r="WL133" s="164"/>
      <c r="WM133" s="164"/>
      <c r="WN133" s="164"/>
      <c r="WO133" s="164"/>
      <c r="WP133" s="164"/>
      <c r="WQ133" s="164"/>
      <c r="WR133" s="164"/>
      <c r="WS133" s="164"/>
      <c r="WT133" s="164"/>
      <c r="WU133" s="164"/>
      <c r="WV133" s="164"/>
      <c r="WW133" s="164"/>
      <c r="WX133" s="164"/>
      <c r="WY133" s="164"/>
      <c r="WZ133" s="164"/>
      <c r="XA133" s="164"/>
      <c r="XB133" s="164"/>
      <c r="XC133" s="164"/>
      <c r="XD133" s="164"/>
      <c r="XE133" s="164"/>
      <c r="XF133" s="164"/>
      <c r="XG133" s="164"/>
      <c r="XH133" s="164"/>
      <c r="XI133" s="164"/>
      <c r="XJ133" s="164"/>
      <c r="XK133" s="164"/>
      <c r="XL133" s="164"/>
      <c r="XM133" s="164"/>
      <c r="XN133" s="164"/>
      <c r="XO133" s="164"/>
      <c r="XP133" s="164"/>
      <c r="XQ133" s="164"/>
      <c r="XR133" s="164"/>
      <c r="XS133" s="164"/>
      <c r="XT133" s="164"/>
      <c r="XU133" s="164"/>
      <c r="XV133" s="164"/>
      <c r="XW133" s="164"/>
      <c r="XX133" s="164"/>
      <c r="XY133" s="164"/>
      <c r="XZ133" s="164"/>
      <c r="YA133" s="164"/>
      <c r="YB133" s="164"/>
      <c r="YC133" s="164"/>
      <c r="YD133" s="164"/>
      <c r="YE133" s="164"/>
      <c r="YF133" s="164"/>
      <c r="YG133" s="164"/>
      <c r="YH133" s="164"/>
      <c r="YI133" s="164"/>
      <c r="YJ133" s="164"/>
      <c r="YK133" s="164"/>
      <c r="YL133" s="164"/>
      <c r="YM133" s="164"/>
      <c r="YN133" s="164"/>
      <c r="YO133" s="164"/>
      <c r="YP133" s="164"/>
      <c r="YQ133" s="164"/>
      <c r="YR133" s="164"/>
      <c r="YS133" s="164"/>
      <c r="YT133" s="164"/>
      <c r="YU133" s="164"/>
      <c r="YV133" s="164"/>
      <c r="YW133" s="164"/>
      <c r="YX133" s="164"/>
      <c r="YY133" s="164"/>
      <c r="YZ133" s="164"/>
      <c r="ZA133" s="164"/>
      <c r="ZB133" s="164"/>
      <c r="ZC133" s="164"/>
      <c r="ZD133" s="164"/>
      <c r="ZE133" s="164"/>
      <c r="ZF133" s="164"/>
      <c r="ZG133" s="164"/>
      <c r="ZH133" s="164"/>
      <c r="ZI133" s="164"/>
      <c r="ZJ133" s="164"/>
      <c r="ZK133" s="164"/>
      <c r="ZL133" s="164"/>
      <c r="ZM133" s="164"/>
      <c r="ZN133" s="164"/>
      <c r="ZO133" s="164"/>
      <c r="ZP133" s="164"/>
      <c r="ZQ133" s="164"/>
      <c r="ZR133" s="164"/>
      <c r="ZS133" s="164"/>
      <c r="ZT133" s="164"/>
      <c r="ZU133" s="164"/>
      <c r="ZV133" s="164"/>
      <c r="ZW133" s="164"/>
      <c r="ZX133" s="164"/>
      <c r="ZY133" s="164"/>
      <c r="ZZ133" s="164"/>
      <c r="AAA133" s="164"/>
      <c r="AAB133" s="164"/>
      <c r="AAC133" s="164"/>
      <c r="AAD133" s="164"/>
      <c r="AAE133" s="164"/>
      <c r="AAF133" s="164"/>
      <c r="AAG133" s="164"/>
      <c r="AAH133" s="164"/>
      <c r="AAI133" s="164"/>
      <c r="AAJ133" s="164"/>
      <c r="AAK133" s="164"/>
      <c r="AAL133" s="164"/>
      <c r="AAM133" s="164"/>
      <c r="AAN133" s="164"/>
      <c r="AAO133" s="164"/>
      <c r="AAP133" s="164"/>
      <c r="AAQ133" s="164"/>
      <c r="AAR133" s="164"/>
      <c r="AAS133" s="164"/>
      <c r="AAT133" s="164"/>
      <c r="AAU133" s="164"/>
      <c r="AAV133" s="164"/>
      <c r="AAW133" s="164"/>
      <c r="AAX133" s="164"/>
      <c r="AAY133" s="164"/>
      <c r="AAZ133" s="164"/>
      <c r="ABA133" s="164"/>
      <c r="ABB133" s="164"/>
      <c r="ABC133" s="164"/>
      <c r="ABD133" s="164"/>
      <c r="ABE133" s="164"/>
      <c r="ABF133" s="164"/>
      <c r="ABG133" s="164"/>
      <c r="ABH133" s="164"/>
      <c r="ABI133" s="164"/>
      <c r="ABJ133" s="164"/>
      <c r="ABK133" s="164"/>
      <c r="ABL133" s="164"/>
      <c r="ABM133" s="164"/>
      <c r="ABN133" s="164"/>
      <c r="ABO133" s="164"/>
      <c r="ABP133" s="164"/>
      <c r="ABQ133" s="164"/>
      <c r="ABR133" s="164"/>
      <c r="ABS133" s="164"/>
      <c r="ABT133" s="164"/>
      <c r="ABU133" s="164"/>
      <c r="ABV133" s="164"/>
      <c r="ABW133" s="164"/>
      <c r="ABX133" s="164"/>
      <c r="ABY133" s="164"/>
      <c r="ABZ133" s="164"/>
      <c r="ACA133" s="164"/>
      <c r="ACB133" s="164"/>
      <c r="ACC133" s="164"/>
      <c r="ACD133" s="164"/>
      <c r="ACE133" s="164"/>
      <c r="ACF133" s="164"/>
      <c r="ACG133" s="164"/>
      <c r="ACH133" s="164"/>
      <c r="ACI133" s="164"/>
      <c r="ACJ133" s="164"/>
      <c r="ACK133" s="164"/>
      <c r="ACL133" s="164"/>
      <c r="ACM133" s="164"/>
      <c r="ACN133" s="164"/>
      <c r="ACO133" s="164"/>
      <c r="ACP133" s="164"/>
      <c r="ACQ133" s="164"/>
      <c r="ACR133" s="164"/>
      <c r="ACS133" s="164"/>
      <c r="ACT133" s="164"/>
      <c r="ACU133" s="164"/>
      <c r="ACV133" s="164"/>
      <c r="ACW133" s="164"/>
      <c r="ACX133" s="164"/>
      <c r="ACY133" s="164"/>
      <c r="ACZ133" s="164"/>
      <c r="ADA133" s="164"/>
      <c r="ADB133" s="164"/>
      <c r="ADC133" s="164"/>
      <c r="ADD133" s="164"/>
      <c r="ADE133" s="164"/>
      <c r="ADF133" s="164"/>
      <c r="ADG133" s="164"/>
      <c r="ADH133" s="164"/>
      <c r="ADI133" s="164"/>
      <c r="ADJ133" s="164"/>
      <c r="ADK133" s="164"/>
      <c r="ADL133" s="164"/>
      <c r="ADM133" s="164"/>
      <c r="ADN133" s="164"/>
      <c r="ADO133" s="164"/>
      <c r="ADP133" s="164"/>
      <c r="ADQ133" s="164"/>
      <c r="ADR133" s="164"/>
      <c r="ADS133" s="164"/>
      <c r="ADT133" s="164"/>
      <c r="ADU133" s="164"/>
      <c r="ADV133" s="164"/>
      <c r="ADW133" s="164"/>
      <c r="ADX133" s="164"/>
      <c r="ADY133" s="164"/>
      <c r="ADZ133" s="164"/>
      <c r="AEA133" s="164"/>
      <c r="AEB133" s="164"/>
      <c r="AEC133" s="164"/>
      <c r="AED133" s="164"/>
      <c r="AEE133" s="164"/>
      <c r="AEF133" s="164"/>
      <c r="AEG133" s="164"/>
      <c r="AEH133" s="164"/>
      <c r="AEI133" s="164"/>
      <c r="AEJ133" s="164"/>
      <c r="AEK133" s="164"/>
      <c r="AEL133" s="164"/>
      <c r="AEM133" s="164"/>
      <c r="AEN133" s="164"/>
      <c r="AEO133" s="164"/>
      <c r="AEP133" s="164"/>
      <c r="AEQ133" s="164"/>
      <c r="AER133" s="164"/>
      <c r="AES133" s="164"/>
      <c r="AET133" s="164"/>
      <c r="AEU133" s="164"/>
      <c r="AEV133" s="164"/>
      <c r="AEW133" s="164"/>
      <c r="AEX133" s="164"/>
      <c r="AEY133" s="164"/>
      <c r="AEZ133" s="164"/>
      <c r="AFA133" s="164"/>
      <c r="AFB133" s="164"/>
      <c r="AFC133" s="164"/>
      <c r="AFD133" s="164"/>
      <c r="AFE133" s="164"/>
      <c r="AFF133" s="164"/>
      <c r="AFG133" s="164"/>
      <c r="AFH133" s="164"/>
      <c r="AFI133" s="164"/>
      <c r="AFJ133" s="164"/>
      <c r="AFK133" s="164"/>
      <c r="AFL133" s="164"/>
      <c r="AFM133" s="164"/>
      <c r="AFN133" s="164"/>
      <c r="AFO133" s="164"/>
      <c r="AFP133" s="164"/>
      <c r="AFQ133" s="164"/>
      <c r="AFR133" s="164"/>
      <c r="AFS133" s="164"/>
      <c r="AFT133" s="164"/>
      <c r="AFU133" s="164"/>
      <c r="AFV133" s="164"/>
      <c r="AFW133" s="164"/>
      <c r="AFX133" s="164"/>
      <c r="AFY133" s="164"/>
      <c r="AFZ133" s="164"/>
      <c r="AGA133" s="164"/>
      <c r="AGB133" s="164"/>
      <c r="AGC133" s="164"/>
      <c r="AGD133" s="164"/>
      <c r="AGE133" s="164"/>
      <c r="AGF133" s="164"/>
      <c r="AGG133" s="164"/>
      <c r="AGH133" s="164"/>
      <c r="AGI133" s="164"/>
      <c r="AGJ133" s="164"/>
      <c r="AGK133" s="164"/>
      <c r="AGL133" s="164"/>
      <c r="AGM133" s="164"/>
      <c r="AGN133" s="164"/>
      <c r="AGO133" s="164"/>
      <c r="AGP133" s="164"/>
      <c r="AGQ133" s="164"/>
      <c r="AGR133" s="164"/>
      <c r="AGS133" s="164"/>
      <c r="AGT133" s="164"/>
      <c r="AGU133" s="164"/>
      <c r="AGV133" s="164"/>
      <c r="AGW133" s="164"/>
      <c r="AGX133" s="164"/>
      <c r="AGY133" s="164"/>
      <c r="AGZ133" s="164"/>
      <c r="AHA133" s="164"/>
      <c r="AHB133" s="164"/>
      <c r="AHC133" s="164"/>
      <c r="AHD133" s="164"/>
      <c r="AHE133" s="164"/>
      <c r="AHF133" s="164"/>
      <c r="AHG133" s="164"/>
      <c r="AHH133" s="164"/>
      <c r="AHI133" s="164"/>
      <c r="AHJ133" s="164"/>
      <c r="AHK133" s="164"/>
      <c r="AHL133" s="164"/>
      <c r="AHM133" s="164"/>
      <c r="AHN133" s="164"/>
      <c r="AHO133" s="164"/>
      <c r="AHP133" s="164"/>
      <c r="AHQ133" s="164"/>
      <c r="AHR133" s="164"/>
      <c r="AHS133" s="164"/>
      <c r="AHT133" s="164"/>
      <c r="AHU133" s="164"/>
      <c r="AHV133" s="164"/>
      <c r="AHW133" s="164"/>
      <c r="AHX133" s="164"/>
      <c r="AHY133" s="164"/>
      <c r="AHZ133" s="164"/>
      <c r="AIA133" s="164"/>
      <c r="AIB133" s="164"/>
      <c r="AIC133" s="164"/>
      <c r="AID133" s="164"/>
      <c r="AIE133" s="164"/>
      <c r="AIF133" s="164"/>
      <c r="AIG133" s="164"/>
      <c r="AIH133" s="164"/>
      <c r="AII133" s="164"/>
      <c r="AIJ133" s="164"/>
      <c r="AIK133" s="164"/>
      <c r="AIL133" s="164"/>
      <c r="AIM133" s="164"/>
      <c r="AIN133" s="164"/>
      <c r="AIO133" s="164"/>
      <c r="AIP133" s="164"/>
      <c r="AIQ133" s="164"/>
      <c r="AIR133" s="164"/>
      <c r="AIS133" s="164"/>
      <c r="AIT133" s="164"/>
      <c r="AIU133" s="164"/>
      <c r="AIV133" s="164"/>
      <c r="AIW133" s="164"/>
      <c r="AIX133" s="164"/>
      <c r="AIY133" s="164"/>
      <c r="AIZ133" s="164"/>
      <c r="AJA133" s="164"/>
      <c r="AJB133" s="164"/>
      <c r="AJC133" s="164"/>
      <c r="AJD133" s="164"/>
      <c r="AJE133" s="164"/>
      <c r="AJF133" s="164"/>
      <c r="AJG133" s="164"/>
      <c r="AJH133" s="164"/>
      <c r="AJI133" s="164"/>
      <c r="AJJ133" s="164"/>
      <c r="AJK133" s="164"/>
      <c r="AJL133" s="164"/>
      <c r="AJM133" s="164"/>
      <c r="AJN133" s="164"/>
      <c r="AJO133" s="164"/>
      <c r="AJP133" s="164"/>
      <c r="AJQ133" s="164"/>
      <c r="AJR133" s="164"/>
      <c r="AJS133" s="164"/>
      <c r="AJT133" s="164"/>
      <c r="AJU133" s="164"/>
      <c r="AJV133" s="164"/>
      <c r="AJW133" s="164"/>
      <c r="AJX133" s="164"/>
      <c r="AJY133" s="164"/>
      <c r="AJZ133" s="164"/>
      <c r="AKA133" s="164"/>
      <c r="AKB133" s="164"/>
      <c r="AKC133" s="164"/>
      <c r="AKD133" s="164"/>
      <c r="AKE133" s="164"/>
      <c r="AKF133" s="164"/>
      <c r="AKG133" s="164"/>
      <c r="AKH133" s="164"/>
      <c r="AKI133" s="164"/>
      <c r="AKJ133" s="164"/>
      <c r="AKK133" s="164"/>
      <c r="AKL133" s="164"/>
      <c r="AKM133" s="164"/>
      <c r="AKN133" s="164"/>
      <c r="AKO133" s="164"/>
      <c r="AKP133" s="164"/>
      <c r="AKQ133" s="164"/>
      <c r="AKR133" s="164"/>
      <c r="AKS133" s="164"/>
      <c r="AKT133" s="164"/>
      <c r="AKU133" s="164"/>
      <c r="AKV133" s="164"/>
      <c r="AKW133" s="164"/>
      <c r="AKX133" s="164"/>
      <c r="AKY133" s="164"/>
      <c r="AKZ133" s="164"/>
      <c r="ALA133" s="164"/>
      <c r="ALB133" s="164"/>
      <c r="ALC133" s="164"/>
      <c r="ALD133" s="164"/>
      <c r="ALE133" s="164"/>
      <c r="ALF133" s="164"/>
      <c r="ALG133" s="164"/>
      <c r="ALH133" s="164"/>
      <c r="ALI133" s="164"/>
      <c r="ALJ133" s="164"/>
      <c r="ALK133" s="164"/>
      <c r="ALL133" s="164"/>
      <c r="ALM133" s="164"/>
    </row>
    <row r="134" customFormat="false" ht="18.75" hidden="false" customHeight="true" outlineLevel="0" collapsed="false">
      <c r="B134" s="84"/>
      <c r="R134" s="10"/>
      <c r="S134" s="136"/>
      <c r="T134" s="136"/>
      <c r="U134" s="133"/>
      <c r="V134" s="80"/>
      <c r="W134" s="80"/>
      <c r="X134" s="80"/>
      <c r="Y134" s="80"/>
      <c r="Z134" s="80"/>
      <c r="AA134" s="80"/>
    </row>
    <row r="135" customFormat="false" ht="13.3" hidden="false" customHeight="true" outlineLevel="0" collapsed="false">
      <c r="B135" s="59" t="s">
        <v>20</v>
      </c>
      <c r="C135" s="60" t="s">
        <v>21</v>
      </c>
      <c r="R135" s="10"/>
      <c r="S135" s="10"/>
      <c r="T135" s="10"/>
      <c r="U135" s="11"/>
      <c r="V135" s="10"/>
      <c r="W135" s="12" t="str">
        <f aca="false">IF(OR(U135=0,N135=""), "", O135*ROUND(U135,0))</f>
        <v/>
      </c>
      <c r="X135" s="13" t="str">
        <f aca="false">IF(AND(N135="", U135&lt;&gt;""),"?",IF(AND(W135&lt;&gt;0,W135&lt;&gt;""), "р.", ""))</f>
        <v/>
      </c>
      <c r="Y135" s="14" t="str">
        <f aca="false">IF(AND(S135&gt;0,U135&gt;0), S135*ROUND(U135,0) / 1000, "")</f>
        <v/>
      </c>
      <c r="Z135" s="15" t="str">
        <f aca="false">IF(AND(Y135&lt;&gt;0,Y135&lt;&gt;""), "кг", "")</f>
        <v/>
      </c>
      <c r="AA135" s="10"/>
    </row>
    <row r="136" customFormat="false" ht="18.15" hidden="false" customHeight="true" outlineLevel="0" collapsed="false">
      <c r="B136" s="61"/>
      <c r="C136" s="62" t="str">
        <f aca="false">HYPERLINK("https://www.emi-penza.ru/p/6032.3829-01_SO", "6032.3829-01 СЗ")</f>
        <v>6032.3829-01 СЗ</v>
      </c>
      <c r="D136" s="63"/>
      <c r="E136" s="63"/>
      <c r="F136" s="63"/>
      <c r="G136" s="63" t="s">
        <v>191</v>
      </c>
      <c r="H136" s="63"/>
      <c r="I136" s="64"/>
      <c r="J136" s="64"/>
      <c r="K136" s="63" t="s">
        <v>192</v>
      </c>
      <c r="L136" s="63"/>
      <c r="M136" s="63"/>
      <c r="N136" s="65" t="n">
        <v>890</v>
      </c>
      <c r="O136" s="65" t="n">
        <f aca="false">ROUND(N136*1.2, 2)</f>
        <v>1068</v>
      </c>
      <c r="R136" s="10"/>
      <c r="S136" s="66" t="n">
        <v>41</v>
      </c>
      <c r="T136" s="66"/>
      <c r="U136" s="165" t="s">
        <v>193</v>
      </c>
      <c r="V136" s="166" t="s">
        <v>194</v>
      </c>
      <c r="W136" s="166"/>
      <c r="X136" s="166"/>
      <c r="Y136" s="166"/>
      <c r="Z136" s="166"/>
      <c r="AA136" s="10"/>
    </row>
    <row r="137" customFormat="false" ht="13.05" hidden="false" customHeight="true" outlineLevel="0" collapsed="false">
      <c r="B137" s="73"/>
      <c r="C137" s="74" t="str">
        <f aca="false">HYPERLINK("https://www.emi-penza.ru/p/6032.3829-03", "6032.3829-03")</f>
        <v>6032.3829-03</v>
      </c>
      <c r="D137" s="75"/>
      <c r="E137" s="75"/>
      <c r="F137" s="75"/>
      <c r="G137" s="75" t="s">
        <v>195</v>
      </c>
      <c r="H137" s="75"/>
      <c r="I137" s="76"/>
      <c r="J137" s="76"/>
      <c r="K137" s="75" t="s">
        <v>192</v>
      </c>
      <c r="L137" s="75"/>
      <c r="M137" s="75"/>
      <c r="N137" s="167" t="s">
        <v>196</v>
      </c>
      <c r="O137" s="167"/>
      <c r="R137" s="10"/>
      <c r="S137" s="78" t="n">
        <v>47</v>
      </c>
      <c r="T137" s="78"/>
      <c r="U137" s="133"/>
      <c r="V137" s="166"/>
      <c r="W137" s="166"/>
      <c r="X137" s="166"/>
      <c r="Y137" s="166"/>
      <c r="Z137" s="166"/>
      <c r="AA137" s="80"/>
    </row>
    <row r="138" customFormat="false" ht="12.2" hidden="false" customHeight="true" outlineLevel="0" collapsed="false">
      <c r="B138" s="84"/>
      <c r="C138" s="127"/>
      <c r="D138" s="128"/>
      <c r="E138" s="128"/>
      <c r="F138" s="128"/>
      <c r="G138" s="128" t="s">
        <v>197</v>
      </c>
      <c r="H138" s="128"/>
      <c r="I138" s="129"/>
      <c r="J138" s="129"/>
      <c r="K138" s="128"/>
      <c r="L138" s="128"/>
      <c r="M138" s="128"/>
      <c r="N138" s="130"/>
      <c r="O138" s="130"/>
      <c r="R138" s="10"/>
      <c r="S138" s="131"/>
      <c r="T138" s="131"/>
      <c r="U138" s="133"/>
      <c r="V138" s="166"/>
      <c r="W138" s="166"/>
      <c r="X138" s="166"/>
      <c r="Y138" s="166"/>
      <c r="Z138" s="166"/>
      <c r="AA138" s="80"/>
    </row>
    <row r="139" customFormat="false" ht="14.15" hidden="false" customHeight="true" outlineLevel="0" collapsed="false">
      <c r="B139" s="84"/>
      <c r="C139" s="85"/>
      <c r="D139" s="86"/>
      <c r="E139" s="86"/>
      <c r="F139" s="86"/>
      <c r="G139" s="86" t="s">
        <v>198</v>
      </c>
      <c r="H139" s="86"/>
      <c r="I139" s="87"/>
      <c r="J139" s="87"/>
      <c r="K139" s="86"/>
      <c r="L139" s="86"/>
      <c r="M139" s="86"/>
      <c r="N139" s="88"/>
      <c r="O139" s="88"/>
      <c r="R139" s="10"/>
      <c r="S139" s="89"/>
      <c r="T139" s="89"/>
      <c r="U139" s="122"/>
      <c r="V139" s="166"/>
      <c r="W139" s="166"/>
      <c r="X139" s="166"/>
      <c r="Y139" s="166"/>
      <c r="Z139" s="166"/>
      <c r="AA139" s="10"/>
    </row>
    <row r="140" customFormat="false" ht="18.15" hidden="false" customHeight="true" outlineLevel="0" collapsed="false">
      <c r="B140" s="61"/>
      <c r="C140" s="62" t="str">
        <f aca="false">HYPERLINK("https://www.emi-penza.ru/p/6032.3829-03_SO", "6032.3829-03 СЗ")</f>
        <v>6032.3829-03 СЗ</v>
      </c>
      <c r="D140" s="63"/>
      <c r="E140" s="63"/>
      <c r="F140" s="63"/>
      <c r="G140" s="63" t="s">
        <v>199</v>
      </c>
      <c r="H140" s="63"/>
      <c r="I140" s="64"/>
      <c r="J140" s="64"/>
      <c r="K140" s="63" t="s">
        <v>200</v>
      </c>
      <c r="L140" s="63"/>
      <c r="M140" s="63"/>
      <c r="N140" s="126" t="s">
        <v>196</v>
      </c>
      <c r="O140" s="126"/>
      <c r="R140" s="10"/>
      <c r="S140" s="66" t="n">
        <v>47</v>
      </c>
      <c r="T140" s="66"/>
      <c r="U140" s="79"/>
      <c r="V140" s="166"/>
      <c r="W140" s="166"/>
      <c r="X140" s="166"/>
      <c r="Y140" s="166"/>
      <c r="Z140" s="166"/>
      <c r="AA140" s="10"/>
    </row>
    <row r="141" customFormat="false" ht="13.05" hidden="false" customHeight="true" outlineLevel="0" collapsed="false">
      <c r="B141" s="73"/>
      <c r="C141" s="74" t="str">
        <f aca="false">HYPERLINK("https://www.emi-penza.ru/p/6042.3829-01", "6042.3829-01")</f>
        <v>6042.3829-01</v>
      </c>
      <c r="D141" s="75"/>
      <c r="E141" s="75"/>
      <c r="F141" s="75"/>
      <c r="G141" s="75" t="s">
        <v>195</v>
      </c>
      <c r="H141" s="75"/>
      <c r="I141" s="76"/>
      <c r="J141" s="76"/>
      <c r="K141" s="75" t="s">
        <v>192</v>
      </c>
      <c r="L141" s="75"/>
      <c r="M141" s="75"/>
      <c r="N141" s="167" t="s">
        <v>196</v>
      </c>
      <c r="O141" s="167"/>
      <c r="R141" s="10"/>
      <c r="S141" s="78" t="n">
        <v>27</v>
      </c>
      <c r="T141" s="78"/>
      <c r="U141" s="79"/>
      <c r="V141" s="168"/>
      <c r="W141" s="80"/>
      <c r="X141" s="100"/>
      <c r="Y141" s="82"/>
      <c r="Z141" s="100"/>
      <c r="AA141" s="10"/>
    </row>
    <row r="142" customFormat="false" ht="12.2" hidden="false" customHeight="true" outlineLevel="0" collapsed="false">
      <c r="B142" s="84"/>
      <c r="C142" s="127"/>
      <c r="D142" s="128"/>
      <c r="E142" s="128"/>
      <c r="F142" s="128"/>
      <c r="G142" s="128" t="s">
        <v>201</v>
      </c>
      <c r="H142" s="128"/>
      <c r="I142" s="129"/>
      <c r="J142" s="129"/>
      <c r="K142" s="128"/>
      <c r="L142" s="128"/>
      <c r="M142" s="128"/>
      <c r="N142" s="130"/>
      <c r="O142" s="130"/>
      <c r="R142" s="10"/>
      <c r="S142" s="131"/>
      <c r="T142" s="131"/>
      <c r="U142" s="132"/>
      <c r="V142" s="131"/>
      <c r="W142" s="133" t="str">
        <f aca="false">IF(OR(U142=0,N142=""), "", O142*ROUND(U142,0))</f>
        <v/>
      </c>
      <c r="X142" s="134" t="str">
        <f aca="false">IF(AND(N142="", U142&lt;&gt;""),"?",IF(AND(W142&lt;&gt;0,W142&lt;&gt;""), "р.", ""))</f>
        <v/>
      </c>
      <c r="Y142" s="135" t="str">
        <f aca="false">IF(AND(S142&gt;0,U142&gt;0), S142*ROUND(U142,0) / 1000, "")</f>
        <v/>
      </c>
      <c r="Z142" s="134" t="str">
        <f aca="false">IF(AND(Y142&lt;&gt;0,Y142&lt;&gt;""), "кг", "")</f>
        <v/>
      </c>
      <c r="AA142" s="10"/>
    </row>
    <row r="143" customFormat="false" ht="14.15" hidden="false" customHeight="true" outlineLevel="0" collapsed="false">
      <c r="B143" s="84"/>
      <c r="C143" s="85"/>
      <c r="D143" s="86"/>
      <c r="E143" s="86"/>
      <c r="F143" s="86"/>
      <c r="G143" s="86" t="s">
        <v>202</v>
      </c>
      <c r="H143" s="86"/>
      <c r="I143" s="87"/>
      <c r="J143" s="87"/>
      <c r="K143" s="86"/>
      <c r="L143" s="86"/>
      <c r="M143" s="86"/>
      <c r="N143" s="88"/>
      <c r="O143" s="88"/>
      <c r="R143" s="10"/>
      <c r="S143" s="89"/>
      <c r="T143" s="89"/>
      <c r="U143" s="122"/>
      <c r="V143" s="121"/>
      <c r="W143" s="123" t="str">
        <f aca="false">IF(OR(U143=0,N143=""), "", O143*ROUND(U143,0))</f>
        <v/>
      </c>
      <c r="X143" s="124" t="str">
        <f aca="false">IF(AND(N143="", U143&lt;&gt;""),"?",IF(AND(W143&lt;&gt;0,W143&lt;&gt;""), "р.", ""))</f>
        <v/>
      </c>
      <c r="Y143" s="125" t="str">
        <f aca="false">IF(AND(S143&gt;0,U143&gt;0), S143*ROUND(U143,0) / 1000, "")</f>
        <v/>
      </c>
      <c r="Z143" s="124" t="str">
        <f aca="false">IF(AND(Y143&lt;&gt;0,Y143&lt;&gt;""), "кг", "")</f>
        <v/>
      </c>
      <c r="AA143" s="10"/>
    </row>
    <row r="144" customFormat="false" ht="13.05" hidden="false" customHeight="true" outlineLevel="0" collapsed="false">
      <c r="B144" s="73"/>
      <c r="C144" s="74" t="str">
        <f aca="false">HYPERLINK("https://www.emi-penza.ru/p/6042.3829-03", "6042.3829-03")</f>
        <v>6042.3829-03</v>
      </c>
      <c r="D144" s="75"/>
      <c r="E144" s="75"/>
      <c r="F144" s="75"/>
      <c r="G144" s="75" t="s">
        <v>195</v>
      </c>
      <c r="H144" s="75"/>
      <c r="I144" s="76"/>
      <c r="J144" s="76"/>
      <c r="K144" s="75" t="s">
        <v>192</v>
      </c>
      <c r="L144" s="75"/>
      <c r="M144" s="75"/>
      <c r="N144" s="167" t="s">
        <v>196</v>
      </c>
      <c r="O144" s="167"/>
      <c r="R144" s="10"/>
      <c r="S144" s="78" t="n">
        <v>27</v>
      </c>
      <c r="T144" s="78"/>
      <c r="U144" s="79"/>
      <c r="V144" s="168"/>
      <c r="W144" s="80" t="str">
        <f aca="false">IF(OR(U144=0,N144=""), "", O144*ROUND(U144,0))</f>
        <v/>
      </c>
      <c r="X144" s="100" t="str">
        <f aca="false">IF(AND(N144="", U144&lt;&gt;""),"?",IF(AND(W144&lt;&gt;0,W144&lt;&gt;""), "р.", ""))</f>
        <v/>
      </c>
      <c r="Y144" s="82" t="str">
        <f aca="false">IF(AND(S144&gt;0,U144&gt;0), S144*ROUND(U144,0) / 1000, "")</f>
        <v/>
      </c>
      <c r="Z144" s="100" t="str">
        <f aca="false">IF(AND(Y144&lt;&gt;0,Y144&lt;&gt;""), "кг", "")</f>
        <v/>
      </c>
      <c r="AA144" s="10"/>
    </row>
    <row r="145" customFormat="false" ht="12.2" hidden="false" customHeight="true" outlineLevel="0" collapsed="false">
      <c r="B145" s="84"/>
      <c r="C145" s="127"/>
      <c r="D145" s="128"/>
      <c r="E145" s="128"/>
      <c r="F145" s="128"/>
      <c r="G145" s="128" t="s">
        <v>201</v>
      </c>
      <c r="H145" s="128"/>
      <c r="I145" s="129"/>
      <c r="J145" s="129"/>
      <c r="K145" s="128"/>
      <c r="L145" s="128"/>
      <c r="M145" s="128"/>
      <c r="N145" s="130"/>
      <c r="O145" s="130"/>
      <c r="R145" s="10"/>
      <c r="S145" s="131"/>
      <c r="T145" s="131"/>
      <c r="U145" s="132"/>
      <c r="V145" s="131"/>
      <c r="W145" s="133" t="str">
        <f aca="false">IF(OR(U145=0,N145=""), "", O145*ROUND(U145,0))</f>
        <v/>
      </c>
      <c r="X145" s="134" t="str">
        <f aca="false">IF(AND(N145="", U145&lt;&gt;""),"?",IF(AND(W145&lt;&gt;0,W145&lt;&gt;""), "р.", ""))</f>
        <v/>
      </c>
      <c r="Y145" s="135" t="str">
        <f aca="false">IF(AND(S145&gt;0,U145&gt;0), S145*ROUND(U145,0) / 1000, "")</f>
        <v/>
      </c>
      <c r="Z145" s="134" t="str">
        <f aca="false">IF(AND(Y145&lt;&gt;0,Y145&lt;&gt;""), "кг", "")</f>
        <v/>
      </c>
      <c r="AA145" s="10"/>
    </row>
    <row r="146" customFormat="false" ht="14.15" hidden="false" customHeight="true" outlineLevel="0" collapsed="false">
      <c r="B146" s="84"/>
      <c r="C146" s="85"/>
      <c r="D146" s="86"/>
      <c r="E146" s="86"/>
      <c r="F146" s="86"/>
      <c r="G146" s="86" t="s">
        <v>202</v>
      </c>
      <c r="H146" s="86"/>
      <c r="I146" s="87"/>
      <c r="J146" s="87"/>
      <c r="K146" s="86"/>
      <c r="L146" s="86"/>
      <c r="M146" s="86"/>
      <c r="N146" s="88"/>
      <c r="O146" s="88"/>
      <c r="R146" s="10"/>
      <c r="S146" s="89"/>
      <c r="T146" s="89"/>
      <c r="U146" s="122"/>
      <c r="V146" s="121"/>
      <c r="W146" s="123" t="str">
        <f aca="false">IF(OR(U146=0,N146=""), "", O146*ROUND(U146,0))</f>
        <v/>
      </c>
      <c r="X146" s="124" t="str">
        <f aca="false">IF(AND(N146="", U146&lt;&gt;""),"?",IF(AND(W146&lt;&gt;0,W146&lt;&gt;""), "р.", ""))</f>
        <v/>
      </c>
      <c r="Y146" s="125" t="str">
        <f aca="false">IF(AND(S146&gt;0,U146&gt;0), S146*ROUND(U146,0) / 1000, "")</f>
        <v/>
      </c>
      <c r="Z146" s="124" t="str">
        <f aca="false">IF(AND(Y146&lt;&gt;0,Y146&lt;&gt;""), "кг", "")</f>
        <v/>
      </c>
      <c r="AA146" s="10"/>
    </row>
    <row r="147" customFormat="false" ht="13.05" hidden="false" customHeight="true" outlineLevel="0" collapsed="false">
      <c r="B147" s="73"/>
      <c r="C147" s="74" t="str">
        <f aca="false">HYPERLINK("https://www.emi-penza.ru/p/178", "6052.3829-01 (22)")</f>
        <v>6052.3829-01 (22)</v>
      </c>
      <c r="D147" s="75"/>
      <c r="E147" s="75"/>
      <c r="F147" s="75"/>
      <c r="G147" s="75" t="s">
        <v>203</v>
      </c>
      <c r="H147" s="75"/>
      <c r="I147" s="76"/>
      <c r="J147" s="76"/>
      <c r="K147" s="75" t="s">
        <v>192</v>
      </c>
      <c r="L147" s="75"/>
      <c r="M147" s="75"/>
      <c r="N147" s="167" t="s">
        <v>196</v>
      </c>
      <c r="O147" s="167"/>
      <c r="R147" s="10"/>
      <c r="S147" s="78" t="n">
        <v>22</v>
      </c>
      <c r="T147" s="78"/>
      <c r="U147" s="79"/>
      <c r="V147" s="168"/>
      <c r="W147" s="80" t="str">
        <f aca="false">IF(OR(U147=0,N147=""), "", O147*ROUND(U147,0))</f>
        <v/>
      </c>
      <c r="X147" s="100" t="str">
        <f aca="false">IF(AND(N147="", U147&lt;&gt;""),"?",IF(AND(W147&lt;&gt;0,W147&lt;&gt;""), "р.", ""))</f>
        <v/>
      </c>
      <c r="Y147" s="82" t="str">
        <f aca="false">IF(AND(S147&gt;0,U147&gt;0), S147*ROUND(U147,0) / 1000, "")</f>
        <v/>
      </c>
      <c r="Z147" s="100" t="str">
        <f aca="false">IF(AND(Y147&lt;&gt;0,Y147&lt;&gt;""), "кг", "")</f>
        <v/>
      </c>
      <c r="AA147" s="10"/>
    </row>
    <row r="148" customFormat="false" ht="14.15" hidden="false" customHeight="true" outlineLevel="0" collapsed="false">
      <c r="B148" s="84"/>
      <c r="C148" s="85"/>
      <c r="D148" s="86"/>
      <c r="E148" s="86"/>
      <c r="F148" s="86"/>
      <c r="G148" s="86" t="s">
        <v>204</v>
      </c>
      <c r="H148" s="86"/>
      <c r="I148" s="87"/>
      <c r="J148" s="87"/>
      <c r="K148" s="86"/>
      <c r="L148" s="86"/>
      <c r="M148" s="86"/>
      <c r="N148" s="88"/>
      <c r="O148" s="88"/>
      <c r="R148" s="10"/>
      <c r="S148" s="89"/>
      <c r="T148" s="89"/>
      <c r="U148" s="122"/>
      <c r="V148" s="121"/>
      <c r="W148" s="123" t="str">
        <f aca="false">IF(OR(U148=0,N148=""), "", O148*ROUND(U148,0))</f>
        <v/>
      </c>
      <c r="X148" s="124" t="str">
        <f aca="false">IF(AND(N148="", U148&lt;&gt;""),"?",IF(AND(W148&lt;&gt;0,W148&lt;&gt;""), "р.", ""))</f>
        <v/>
      </c>
      <c r="Y148" s="125" t="str">
        <f aca="false">IF(AND(S148&gt;0,U148&gt;0), S148*ROUND(U148,0) / 1000, "")</f>
        <v/>
      </c>
      <c r="Z148" s="124" t="str">
        <f aca="false">IF(AND(Y148&lt;&gt;0,Y148&lt;&gt;""), "кг", "")</f>
        <v/>
      </c>
      <c r="AA148" s="10"/>
    </row>
    <row r="149" customFormat="false" ht="13.05" hidden="false" customHeight="true" outlineLevel="0" collapsed="false">
      <c r="B149" s="61"/>
      <c r="C149" s="74" t="str">
        <f aca="false">HYPERLINK("https://www.emi-penza.ru/p/6052.3829-04", "6052.3829-04")</f>
        <v>6052.3829-04</v>
      </c>
      <c r="D149" s="75"/>
      <c r="E149" s="75"/>
      <c r="F149" s="75"/>
      <c r="G149" s="75" t="s">
        <v>195</v>
      </c>
      <c r="H149" s="75"/>
      <c r="I149" s="76"/>
      <c r="J149" s="76"/>
      <c r="K149" s="75" t="s">
        <v>192</v>
      </c>
      <c r="L149" s="75"/>
      <c r="M149" s="75"/>
      <c r="N149" s="167" t="s">
        <v>196</v>
      </c>
      <c r="O149" s="167"/>
      <c r="R149" s="10"/>
      <c r="S149" s="78" t="n">
        <v>40</v>
      </c>
      <c r="T149" s="78"/>
      <c r="U149" s="79"/>
      <c r="V149" s="168"/>
      <c r="W149" s="80" t="str">
        <f aca="false">IF(OR(U149=0,N149=""), "", O149*ROUND(U149,0))</f>
        <v/>
      </c>
      <c r="X149" s="100" t="str">
        <f aca="false">IF(AND(N149="", U149&lt;&gt;""),"?",IF(AND(W149&lt;&gt;0,W149&lt;&gt;""), "р.", ""))</f>
        <v/>
      </c>
      <c r="Y149" s="82" t="str">
        <f aca="false">IF(AND(S149&gt;0,U149&gt;0), S149*ROUND(U149,0) / 1000, "")</f>
        <v/>
      </c>
      <c r="Z149" s="100" t="str">
        <f aca="false">IF(AND(Y149&lt;&gt;0,Y149&lt;&gt;""), "кг", "")</f>
        <v/>
      </c>
      <c r="AA149" s="10"/>
    </row>
    <row r="150" customFormat="false" ht="12.2" hidden="false" customHeight="true" outlineLevel="0" collapsed="false">
      <c r="B150" s="84"/>
      <c r="C150" s="127"/>
      <c r="D150" s="128"/>
      <c r="E150" s="128"/>
      <c r="F150" s="128"/>
      <c r="G150" s="128" t="s">
        <v>201</v>
      </c>
      <c r="H150" s="128"/>
      <c r="I150" s="129"/>
      <c r="J150" s="129"/>
      <c r="K150" s="128"/>
      <c r="L150" s="128"/>
      <c r="M150" s="128"/>
      <c r="N150" s="130"/>
      <c r="O150" s="130"/>
      <c r="R150" s="10"/>
      <c r="S150" s="131"/>
      <c r="T150" s="131"/>
      <c r="U150" s="132"/>
      <c r="V150" s="131"/>
      <c r="W150" s="133" t="str">
        <f aca="false">IF(OR(U150=0,N150=""), "", O150*ROUND(U150,0))</f>
        <v/>
      </c>
      <c r="X150" s="134" t="str">
        <f aca="false">IF(AND(N150="", U150&lt;&gt;""),"?",IF(AND(W150&lt;&gt;0,W150&lt;&gt;""), "р.", ""))</f>
        <v/>
      </c>
      <c r="Y150" s="135" t="str">
        <f aca="false">IF(AND(S150&gt;0,U150&gt;0), S150*ROUND(U150,0) / 1000, "")</f>
        <v/>
      </c>
      <c r="Z150" s="134" t="str">
        <f aca="false">IF(AND(Y150&lt;&gt;0,Y150&lt;&gt;""), "кг", "")</f>
        <v/>
      </c>
      <c r="AA150" s="10"/>
    </row>
    <row r="151" customFormat="false" ht="14.15" hidden="false" customHeight="true" outlineLevel="0" collapsed="false">
      <c r="B151" s="84"/>
      <c r="C151" s="85"/>
      <c r="D151" s="86"/>
      <c r="E151" s="86"/>
      <c r="F151" s="86"/>
      <c r="G151" s="86" t="s">
        <v>205</v>
      </c>
      <c r="H151" s="86"/>
      <c r="I151" s="87"/>
      <c r="J151" s="87"/>
      <c r="K151" s="86"/>
      <c r="L151" s="86"/>
      <c r="M151" s="86"/>
      <c r="N151" s="88"/>
      <c r="O151" s="88"/>
      <c r="R151" s="10"/>
      <c r="S151" s="89"/>
      <c r="T151" s="89"/>
      <c r="U151" s="122"/>
      <c r="V151" s="121"/>
      <c r="W151" s="123" t="str">
        <f aca="false">IF(OR(U151=0,N151=""), "", O151*ROUND(U151,0))</f>
        <v/>
      </c>
      <c r="X151" s="124" t="str">
        <f aca="false">IF(AND(N151="", U151&lt;&gt;""),"?",IF(AND(W151&lt;&gt;0,W151&lt;&gt;""), "р.", ""))</f>
        <v/>
      </c>
      <c r="Y151" s="125" t="str">
        <f aca="false">IF(AND(S151&gt;0,U151&gt;0), S151*ROUND(U151,0) / 1000, "")</f>
        <v/>
      </c>
      <c r="Z151" s="124" t="str">
        <f aca="false">IF(AND(Y151&lt;&gt;0,Y151&lt;&gt;""), "кг", "")</f>
        <v/>
      </c>
      <c r="AA151" s="10"/>
    </row>
    <row r="152" customFormat="false" ht="13.05" hidden="false" customHeight="true" outlineLevel="0" collapsed="false">
      <c r="B152" s="73"/>
      <c r="C152" s="74" t="str">
        <f aca="false">HYPERLINK("https://www.emi-penza.ru/p/6072.3829-01", "6072.3829-01")</f>
        <v>6072.3829-01</v>
      </c>
      <c r="D152" s="75"/>
      <c r="E152" s="75"/>
      <c r="F152" s="75"/>
      <c r="G152" s="75" t="s">
        <v>195</v>
      </c>
      <c r="H152" s="75"/>
      <c r="I152" s="76"/>
      <c r="J152" s="76"/>
      <c r="K152" s="75" t="s">
        <v>206</v>
      </c>
      <c r="L152" s="75"/>
      <c r="M152" s="75"/>
      <c r="N152" s="167" t="s">
        <v>196</v>
      </c>
      <c r="O152" s="167"/>
      <c r="R152" s="10"/>
      <c r="S152" s="78" t="n">
        <v>39</v>
      </c>
      <c r="T152" s="78"/>
      <c r="U152" s="79"/>
      <c r="V152" s="168"/>
      <c r="W152" s="80" t="str">
        <f aca="false">IF(OR(U152=0,N152=""), "", O152*ROUND(U152,0))</f>
        <v/>
      </c>
      <c r="X152" s="100" t="str">
        <f aca="false">IF(AND(N152="", U152&lt;&gt;""),"?",IF(AND(W152&lt;&gt;0,W152&lt;&gt;""), "р.", ""))</f>
        <v/>
      </c>
      <c r="Y152" s="82" t="str">
        <f aca="false">IF(AND(S152&gt;0,U152&gt;0), S152*ROUND(U152,0) / 1000, "")</f>
        <v/>
      </c>
      <c r="Z152" s="100" t="str">
        <f aca="false">IF(AND(Y152&lt;&gt;0,Y152&lt;&gt;""), "кг", "")</f>
        <v/>
      </c>
      <c r="AA152" s="10"/>
    </row>
    <row r="153" customFormat="false" ht="12.2" hidden="false" customHeight="true" outlineLevel="0" collapsed="false">
      <c r="B153" s="84"/>
      <c r="C153" s="127"/>
      <c r="D153" s="128"/>
      <c r="E153" s="128"/>
      <c r="F153" s="128"/>
      <c r="G153" s="128" t="s">
        <v>201</v>
      </c>
      <c r="H153" s="128"/>
      <c r="I153" s="129"/>
      <c r="J153" s="129"/>
      <c r="K153" s="128" t="s">
        <v>207</v>
      </c>
      <c r="L153" s="128"/>
      <c r="M153" s="128"/>
      <c r="N153" s="130"/>
      <c r="O153" s="130"/>
      <c r="R153" s="10"/>
      <c r="S153" s="131"/>
      <c r="T153" s="131"/>
      <c r="U153" s="132"/>
      <c r="V153" s="131"/>
      <c r="W153" s="133" t="str">
        <f aca="false">IF(OR(U153=0,N153=""), "", O153*ROUND(U153,0))</f>
        <v/>
      </c>
      <c r="X153" s="134" t="str">
        <f aca="false">IF(AND(N153="", U153&lt;&gt;""),"?",IF(AND(W153&lt;&gt;0,W153&lt;&gt;""), "р.", ""))</f>
        <v/>
      </c>
      <c r="Y153" s="135" t="str">
        <f aca="false">IF(AND(S153&gt;0,U153&gt;0), S153*ROUND(U153,0) / 1000, "")</f>
        <v/>
      </c>
      <c r="Z153" s="134" t="str">
        <f aca="false">IF(AND(Y153&lt;&gt;0,Y153&lt;&gt;""), "кг", "")</f>
        <v/>
      </c>
      <c r="AA153" s="10"/>
    </row>
    <row r="154" customFormat="false" ht="14.15" hidden="false" customHeight="true" outlineLevel="0" collapsed="false">
      <c r="B154" s="84"/>
      <c r="C154" s="85"/>
      <c r="D154" s="86"/>
      <c r="E154" s="86"/>
      <c r="F154" s="86"/>
      <c r="G154" s="86" t="s">
        <v>208</v>
      </c>
      <c r="H154" s="86"/>
      <c r="I154" s="87"/>
      <c r="J154" s="87"/>
      <c r="K154" s="86"/>
      <c r="L154" s="86"/>
      <c r="M154" s="86"/>
      <c r="N154" s="88"/>
      <c r="O154" s="88"/>
      <c r="R154" s="10"/>
      <c r="S154" s="89"/>
      <c r="T154" s="89"/>
      <c r="U154" s="122"/>
      <c r="V154" s="121"/>
      <c r="W154" s="123" t="str">
        <f aca="false">IF(OR(U154=0,N154=""), "", O154*ROUND(U154,0))</f>
        <v/>
      </c>
      <c r="X154" s="124" t="str">
        <f aca="false">IF(AND(N154="", U154&lt;&gt;""),"?",IF(AND(W154&lt;&gt;0,W154&lt;&gt;""), "р.", ""))</f>
        <v/>
      </c>
      <c r="Y154" s="125" t="str">
        <f aca="false">IF(AND(S154&gt;0,U154&gt;0), S154*ROUND(U154,0) / 1000, "")</f>
        <v/>
      </c>
      <c r="Z154" s="124" t="str">
        <f aca="false">IF(AND(Y154&lt;&gt;0,Y154&lt;&gt;""), "кг", "")</f>
        <v/>
      </c>
      <c r="AA154" s="10"/>
    </row>
    <row r="155" customFormat="false" ht="13.05" hidden="false" customHeight="true" outlineLevel="0" collapsed="false">
      <c r="B155" s="61"/>
      <c r="C155" s="74" t="str">
        <f aca="false">HYPERLINK("https://www.emi-penza.ru/p/6072.3829-01_SO_K18", "6072.3829-01 СЗ К1/8")</f>
        <v>6072.3829-01 СЗ К1/8</v>
      </c>
      <c r="D155" s="75"/>
      <c r="E155" s="75"/>
      <c r="F155" s="75"/>
      <c r="G155" s="75" t="s">
        <v>195</v>
      </c>
      <c r="H155" s="75"/>
      <c r="I155" s="76"/>
      <c r="J155" s="76"/>
      <c r="K155" s="75" t="s">
        <v>192</v>
      </c>
      <c r="L155" s="75"/>
      <c r="M155" s="75"/>
      <c r="N155" s="167" t="s">
        <v>209</v>
      </c>
      <c r="O155" s="167"/>
      <c r="R155" s="10"/>
      <c r="S155" s="78" t="n">
        <v>39</v>
      </c>
      <c r="T155" s="78"/>
      <c r="U155" s="79"/>
      <c r="V155" s="168"/>
      <c r="W155" s="80" t="str">
        <f aca="false">IF(OR(U155=0,N155=""), "", O155*ROUND(U155,0))</f>
        <v/>
      </c>
      <c r="X155" s="100" t="str">
        <f aca="false">IF(AND(N155="", U155&lt;&gt;""),"?",IF(AND(W155&lt;&gt;0,W155&lt;&gt;""), "р.", ""))</f>
        <v/>
      </c>
      <c r="Y155" s="82" t="str">
        <f aca="false">IF(AND(S155&gt;0,U155&gt;0), S155*ROUND(U155,0) / 1000, "")</f>
        <v/>
      </c>
      <c r="Z155" s="100" t="str">
        <f aca="false">IF(AND(Y155&lt;&gt;0,Y155&lt;&gt;""), "кг", "")</f>
        <v/>
      </c>
      <c r="AA155" s="10"/>
    </row>
    <row r="156" customFormat="false" ht="14.15" hidden="false" customHeight="true" outlineLevel="0" collapsed="false">
      <c r="B156" s="84"/>
      <c r="C156" s="85"/>
      <c r="D156" s="86"/>
      <c r="E156" s="86"/>
      <c r="F156" s="86"/>
      <c r="G156" s="86" t="s">
        <v>210</v>
      </c>
      <c r="H156" s="86"/>
      <c r="I156" s="87"/>
      <c r="J156" s="87"/>
      <c r="K156" s="86"/>
      <c r="L156" s="86"/>
      <c r="M156" s="86"/>
      <c r="N156" s="88"/>
      <c r="O156" s="88"/>
      <c r="R156" s="10"/>
      <c r="S156" s="89"/>
      <c r="T156" s="89"/>
      <c r="U156" s="122"/>
      <c r="V156" s="121"/>
      <c r="W156" s="123" t="str">
        <f aca="false">IF(OR(U156=0,N156=""), "", O156*ROUND(U156,0))</f>
        <v/>
      </c>
      <c r="X156" s="124" t="str">
        <f aca="false">IF(AND(N156="", U156&lt;&gt;""),"?",IF(AND(W156&lt;&gt;0,W156&lt;&gt;""), "р.", ""))</f>
        <v/>
      </c>
      <c r="Y156" s="125" t="str">
        <f aca="false">IF(AND(S156&gt;0,U156&gt;0), S156*ROUND(U156,0) / 1000, "")</f>
        <v/>
      </c>
      <c r="Z156" s="124" t="str">
        <f aca="false">IF(AND(Y156&lt;&gt;0,Y156&lt;&gt;""), "кг", "")</f>
        <v/>
      </c>
      <c r="AA156" s="10"/>
    </row>
    <row r="157" customFormat="false" ht="13.05" hidden="false" customHeight="true" outlineLevel="0" collapsed="false">
      <c r="B157" s="73"/>
      <c r="C157" s="74" t="str">
        <f aca="false">HYPERLINK("https://www.emi-penza.ru/p/6072.3829-07", "6072.3829-07")</f>
        <v>6072.3829-07</v>
      </c>
      <c r="D157" s="75"/>
      <c r="E157" s="75"/>
      <c r="F157" s="75"/>
      <c r="G157" s="75" t="s">
        <v>195</v>
      </c>
      <c r="H157" s="75"/>
      <c r="I157" s="76"/>
      <c r="J157" s="76"/>
      <c r="K157" s="75" t="s">
        <v>192</v>
      </c>
      <c r="L157" s="75"/>
      <c r="M157" s="75"/>
      <c r="N157" s="167" t="s">
        <v>196</v>
      </c>
      <c r="O157" s="167"/>
      <c r="R157" s="10"/>
      <c r="S157" s="78" t="n">
        <v>45</v>
      </c>
      <c r="T157" s="78"/>
      <c r="U157" s="79"/>
      <c r="V157" s="168"/>
      <c r="W157" s="80" t="str">
        <f aca="false">IF(OR(U157=0,N157=""), "", O157*ROUND(U157,0))</f>
        <v/>
      </c>
      <c r="X157" s="100" t="str">
        <f aca="false">IF(AND(N157="", U157&lt;&gt;""),"?",IF(AND(W157&lt;&gt;0,W157&lt;&gt;""), "р.", ""))</f>
        <v/>
      </c>
      <c r="Y157" s="82" t="str">
        <f aca="false">IF(AND(S157&gt;0,U157&gt;0), S157*ROUND(U157,0) / 1000, "")</f>
        <v/>
      </c>
      <c r="Z157" s="100" t="str">
        <f aca="false">IF(AND(Y157&lt;&gt;0,Y157&lt;&gt;""), "кг", "")</f>
        <v/>
      </c>
      <c r="AA157" s="10"/>
    </row>
    <row r="158" customFormat="false" ht="12.2" hidden="false" customHeight="true" outlineLevel="0" collapsed="false">
      <c r="B158" s="3"/>
      <c r="C158" s="127"/>
      <c r="D158" s="128"/>
      <c r="E158" s="128"/>
      <c r="F158" s="128"/>
      <c r="G158" s="128" t="s">
        <v>201</v>
      </c>
      <c r="H158" s="128"/>
      <c r="I158" s="129"/>
      <c r="J158" s="129"/>
      <c r="K158" s="128"/>
      <c r="L158" s="128"/>
      <c r="M158" s="128"/>
      <c r="N158" s="130"/>
      <c r="O158" s="130"/>
      <c r="R158" s="10"/>
      <c r="S158" s="131"/>
      <c r="T158" s="131"/>
      <c r="U158" s="132"/>
      <c r="V158" s="131"/>
      <c r="W158" s="133" t="str">
        <f aca="false">IF(OR(U158=0,N158=""), "", O158*ROUND(U158,0))</f>
        <v/>
      </c>
      <c r="X158" s="134" t="str">
        <f aca="false">IF(AND(N158="", U158&lt;&gt;""),"?",IF(AND(W158&lt;&gt;0,W158&lt;&gt;""), "р.", ""))</f>
        <v/>
      </c>
      <c r="Y158" s="135" t="str">
        <f aca="false">IF(AND(S158&gt;0,U158&gt;0), S158*ROUND(U158,0) / 1000, "")</f>
        <v/>
      </c>
      <c r="Z158" s="134" t="str">
        <f aca="false">IF(AND(Y158&lt;&gt;0,Y158&lt;&gt;""), "кг", "")</f>
        <v/>
      </c>
      <c r="AA158" s="10"/>
    </row>
    <row r="159" customFormat="false" ht="14.15" hidden="false" customHeight="true" outlineLevel="0" collapsed="false">
      <c r="B159" s="84"/>
      <c r="C159" s="85"/>
      <c r="D159" s="86"/>
      <c r="E159" s="86"/>
      <c r="F159" s="86"/>
      <c r="G159" s="86" t="s">
        <v>208</v>
      </c>
      <c r="H159" s="86"/>
      <c r="I159" s="87"/>
      <c r="J159" s="87"/>
      <c r="K159" s="86"/>
      <c r="L159" s="86"/>
      <c r="M159" s="86"/>
      <c r="N159" s="88"/>
      <c r="O159" s="88"/>
      <c r="R159" s="10"/>
      <c r="S159" s="89"/>
      <c r="T159" s="89"/>
      <c r="U159" s="122"/>
      <c r="V159" s="121"/>
      <c r="W159" s="123" t="str">
        <f aca="false">IF(OR(U159=0,N159=""), "", O159*ROUND(U159,0))</f>
        <v/>
      </c>
      <c r="X159" s="124" t="str">
        <f aca="false">IF(AND(N159="", U159&lt;&gt;""),"?",IF(AND(W159&lt;&gt;0,W159&lt;&gt;""), "р.", ""))</f>
        <v/>
      </c>
      <c r="Y159" s="125" t="str">
        <f aca="false">IF(AND(S159&gt;0,U159&gt;0), S159*ROUND(U159,0) / 1000, "")</f>
        <v/>
      </c>
      <c r="Z159" s="124" t="str">
        <f aca="false">IF(AND(Y159&lt;&gt;0,Y159&lt;&gt;""), "кг", "")</f>
        <v/>
      </c>
      <c r="AA159" s="10"/>
    </row>
    <row r="160" customFormat="false" ht="13.05" hidden="false" customHeight="true" outlineLevel="0" collapsed="false">
      <c r="B160" s="73"/>
      <c r="C160" s="74" t="str">
        <f aca="false">HYPERLINK("https://www.emi-penza.ru/p/6072.3829-08", "6072.3829-08")</f>
        <v>6072.3829-08</v>
      </c>
      <c r="D160" s="75"/>
      <c r="E160" s="75"/>
      <c r="F160" s="75"/>
      <c r="G160" s="75" t="s">
        <v>23</v>
      </c>
      <c r="H160" s="75"/>
      <c r="I160" s="76"/>
      <c r="J160" s="76"/>
      <c r="K160" s="75" t="s">
        <v>211</v>
      </c>
      <c r="L160" s="75"/>
      <c r="M160" s="75"/>
      <c r="N160" s="167" t="s">
        <v>196</v>
      </c>
      <c r="O160" s="167"/>
      <c r="R160" s="10"/>
      <c r="S160" s="78" t="n">
        <v>47</v>
      </c>
      <c r="T160" s="78"/>
      <c r="U160" s="79"/>
      <c r="V160" s="168"/>
      <c r="W160" s="80" t="str">
        <f aca="false">IF(OR(U160=0,N160=""), "", O160*ROUND(U160,0))</f>
        <v/>
      </c>
      <c r="X160" s="100" t="str">
        <f aca="false">IF(AND(N160="", U160&lt;&gt;""),"?",IF(AND(W160&lt;&gt;0,W160&lt;&gt;""), "р.", ""))</f>
        <v/>
      </c>
      <c r="Y160" s="82" t="str">
        <f aca="false">IF(AND(S160&gt;0,U160&gt;0), S160*ROUND(U160,0) / 1000, "")</f>
        <v/>
      </c>
      <c r="Z160" s="100" t="str">
        <f aca="false">IF(AND(Y160&lt;&gt;0,Y160&lt;&gt;""), "кг", "")</f>
        <v/>
      </c>
      <c r="AA160" s="10"/>
    </row>
    <row r="161" customFormat="false" ht="12.2" hidden="false" customHeight="true" outlineLevel="0" collapsed="false">
      <c r="B161" s="3"/>
      <c r="C161" s="127"/>
      <c r="D161" s="128"/>
      <c r="E161" s="128"/>
      <c r="F161" s="128"/>
      <c r="G161" s="128" t="s">
        <v>201</v>
      </c>
      <c r="H161" s="128"/>
      <c r="I161" s="129"/>
      <c r="J161" s="129"/>
      <c r="K161" s="128" t="s">
        <v>192</v>
      </c>
      <c r="L161" s="128"/>
      <c r="M161" s="128"/>
      <c r="N161" s="130"/>
      <c r="O161" s="130"/>
      <c r="R161" s="10"/>
      <c r="S161" s="131"/>
      <c r="T161" s="131"/>
      <c r="U161" s="132"/>
      <c r="V161" s="131"/>
      <c r="W161" s="133" t="str">
        <f aca="false">IF(OR(U161=0,N161=""), "", O161*ROUND(U161,0))</f>
        <v/>
      </c>
      <c r="X161" s="134" t="str">
        <f aca="false">IF(AND(N161="", U161&lt;&gt;""),"?",IF(AND(W161&lt;&gt;0,W161&lt;&gt;""), "р.", ""))</f>
        <v/>
      </c>
      <c r="Y161" s="135" t="str">
        <f aca="false">IF(AND(S161&gt;0,U161&gt;0), S161*ROUND(U161,0) / 1000, "")</f>
        <v/>
      </c>
      <c r="Z161" s="134" t="str">
        <f aca="false">IF(AND(Y161&lt;&gt;0,Y161&lt;&gt;""), "кг", "")</f>
        <v/>
      </c>
      <c r="AA161" s="10"/>
    </row>
    <row r="162" customFormat="false" ht="14.15" hidden="false" customHeight="true" outlineLevel="0" collapsed="false">
      <c r="B162" s="3"/>
      <c r="C162" s="116"/>
      <c r="D162" s="117"/>
      <c r="E162" s="117"/>
      <c r="F162" s="117"/>
      <c r="G162" s="117" t="s">
        <v>208</v>
      </c>
      <c r="H162" s="117"/>
      <c r="I162" s="118"/>
      <c r="J162" s="118"/>
      <c r="K162" s="117"/>
      <c r="L162" s="117"/>
      <c r="M162" s="117"/>
      <c r="N162" s="120"/>
      <c r="O162" s="120"/>
      <c r="R162" s="10"/>
      <c r="S162" s="121"/>
      <c r="T162" s="121"/>
      <c r="U162" s="122"/>
      <c r="V162" s="121"/>
      <c r="W162" s="123" t="str">
        <f aca="false">IF(OR(U162=0,N162=""), "", O162*ROUND(U162,0))</f>
        <v/>
      </c>
      <c r="X162" s="124" t="str">
        <f aca="false">IF(AND(N162="", U162&lt;&gt;""),"?",IF(AND(W162&lt;&gt;0,W162&lt;&gt;""), "р.", ""))</f>
        <v/>
      </c>
      <c r="Y162" s="125" t="str">
        <f aca="false">IF(AND(S162&gt;0,U162&gt;0), S162*ROUND(U162,0) / 1000, "")</f>
        <v/>
      </c>
      <c r="Z162" s="124" t="str">
        <f aca="false">IF(AND(Y162&lt;&gt;0,Y162&lt;&gt;""), "кг", "")</f>
        <v/>
      </c>
      <c r="AA162" s="10"/>
    </row>
    <row r="163" customFormat="false" ht="28.35" hidden="false" customHeight="true" outlineLevel="0" collapsed="false">
      <c r="B163" s="3"/>
      <c r="C163" s="116"/>
      <c r="D163" s="117"/>
      <c r="E163" s="117"/>
      <c r="F163" s="117"/>
      <c r="G163" s="117"/>
      <c r="H163" s="117"/>
      <c r="I163" s="118"/>
      <c r="J163" s="118"/>
      <c r="K163" s="117"/>
      <c r="L163" s="117"/>
      <c r="M163" s="117"/>
      <c r="N163" s="120"/>
      <c r="O163" s="120"/>
      <c r="R163" s="10"/>
      <c r="S163" s="121"/>
      <c r="T163" s="121"/>
      <c r="U163" s="122"/>
      <c r="V163" s="121"/>
      <c r="W163" s="123"/>
      <c r="X163" s="124"/>
      <c r="Y163" s="125"/>
      <c r="Z163" s="124" t="str">
        <f aca="false">IF(AND(Y163&lt;&gt;0,Y163&lt;&gt;""), "кг", "")</f>
        <v/>
      </c>
      <c r="AA163" s="10"/>
    </row>
    <row r="164" customFormat="false" ht="18.15" hidden="false" customHeight="true" outlineLevel="0" collapsed="false">
      <c r="B164" s="61"/>
      <c r="C164" s="62" t="str">
        <f aca="false">HYPERLINK("https://www.emi-penza.ru/p/1302.3768_SO_M16_rod_18_mm", "1302.3768 СЗ М16 шток 18 мм")</f>
        <v>1302.3768 СЗ М16 шток 18 мм</v>
      </c>
      <c r="D164" s="63"/>
      <c r="E164" s="63"/>
      <c r="F164" s="63"/>
      <c r="G164" s="63" t="s">
        <v>136</v>
      </c>
      <c r="H164" s="63"/>
      <c r="I164" s="64"/>
      <c r="J164" s="64"/>
      <c r="K164" s="63" t="s">
        <v>212</v>
      </c>
      <c r="L164" s="63"/>
      <c r="M164" s="63"/>
      <c r="N164" s="126" t="s">
        <v>213</v>
      </c>
      <c r="O164" s="126"/>
      <c r="R164" s="10"/>
      <c r="S164" s="66" t="n">
        <v>38</v>
      </c>
      <c r="T164" s="66"/>
      <c r="U164" s="122"/>
      <c r="V164" s="121"/>
      <c r="W164" s="123" t="str">
        <f aca="false">IF(OR(U164=0,N164=""), "", O164*ROUND(U164,0))</f>
        <v/>
      </c>
      <c r="X164" s="124" t="str">
        <f aca="false">IF(AND(N164="", U164&lt;&gt;""),"?",IF(AND(W164&lt;&gt;0,W164&lt;&gt;""), "р.", ""))</f>
        <v/>
      </c>
      <c r="Y164" s="125" t="str">
        <f aca="false">IF(AND(S164&gt;0,U164&gt;0), S164*ROUND(U164,0) / 1000, "")</f>
        <v/>
      </c>
      <c r="Z164" s="100" t="str">
        <f aca="false">IF(AND(Y164&lt;&gt;0,Y164&lt;&gt;""), "кг", "")</f>
        <v/>
      </c>
      <c r="AA164" s="10"/>
    </row>
    <row r="165" customFormat="false" ht="18.15" hidden="false" customHeight="true" outlineLevel="0" collapsed="false">
      <c r="B165" s="61" t="s">
        <v>20</v>
      </c>
      <c r="C165" s="62" t="str">
        <f aca="false">HYPERLINK("https://www.emi-penza.ru/p/1332.3768-04", "1332.3768-04")</f>
        <v>1332.3768-04</v>
      </c>
      <c r="D165" s="63"/>
      <c r="E165" s="63"/>
      <c r="F165" s="63"/>
      <c r="G165" s="63" t="s">
        <v>125</v>
      </c>
      <c r="H165" s="63"/>
      <c r="I165" s="64"/>
      <c r="J165" s="64"/>
      <c r="K165" s="63" t="s">
        <v>127</v>
      </c>
      <c r="L165" s="63"/>
      <c r="M165" s="63"/>
      <c r="N165" s="126" t="n">
        <v>1000</v>
      </c>
      <c r="O165" s="126" t="n">
        <f aca="false">ROUND(N165*1.2, 2)</f>
        <v>1200</v>
      </c>
      <c r="R165" s="10"/>
      <c r="S165" s="66" t="n">
        <v>35</v>
      </c>
      <c r="T165" s="66"/>
      <c r="U165" s="122"/>
      <c r="V165" s="121"/>
      <c r="W165" s="123"/>
      <c r="X165" s="124"/>
      <c r="Y165" s="125"/>
      <c r="Z165" s="100"/>
      <c r="AA165" s="10"/>
    </row>
    <row r="166" customFormat="false" ht="18.15" hidden="false" customHeight="true" outlineLevel="0" collapsed="false">
      <c r="B166" s="61"/>
      <c r="C166" s="62" t="str">
        <f aca="false">HYPERLINK("https://www.emi-penza.ru/p/1352.3768-01_SO", "1352.3768-01 СЗ")</f>
        <v>1352.3768-01 СЗ</v>
      </c>
      <c r="D166" s="63"/>
      <c r="E166" s="63"/>
      <c r="F166" s="63"/>
      <c r="G166" s="63" t="s">
        <v>136</v>
      </c>
      <c r="H166" s="63"/>
      <c r="I166" s="64"/>
      <c r="J166" s="64"/>
      <c r="K166" s="63" t="s">
        <v>192</v>
      </c>
      <c r="L166" s="63"/>
      <c r="M166" s="63"/>
      <c r="N166" s="126" t="s">
        <v>196</v>
      </c>
      <c r="O166" s="126"/>
      <c r="R166" s="10"/>
      <c r="S166" s="66" t="n">
        <v>41</v>
      </c>
      <c r="T166" s="66"/>
      <c r="U166" s="122"/>
      <c r="V166" s="121"/>
      <c r="W166" s="123" t="str">
        <f aca="false">IF(OR(U166=0,N166=""), "", O166*ROUND(U166,0))</f>
        <v/>
      </c>
      <c r="X166" s="124" t="str">
        <f aca="false">IF(AND(N166="", U166&lt;&gt;""),"?",IF(AND(W166&lt;&gt;0,W166&lt;&gt;""), "р.", ""))</f>
        <v/>
      </c>
      <c r="Y166" s="125" t="str">
        <f aca="false">IF(AND(S166&gt;0,U166&gt;0), S166*ROUND(U166,0) / 1000, "")</f>
        <v/>
      </c>
      <c r="Z166" s="100" t="str">
        <f aca="false">IF(AND(Y166&lt;&gt;0,Y166&lt;&gt;""), "кг", "")</f>
        <v/>
      </c>
      <c r="AA166" s="10"/>
    </row>
    <row r="167" customFormat="false" ht="18.15" hidden="false" customHeight="true" outlineLevel="0" collapsed="false">
      <c r="B167" s="61"/>
      <c r="C167" s="62" t="str">
        <f aca="false">HYPERLINK("https://www.emi-penza.ru/p/1352.3768-06_SO", "1352.3768-06 СЗ")</f>
        <v>1352.3768-06 СЗ</v>
      </c>
      <c r="D167" s="63"/>
      <c r="E167" s="63"/>
      <c r="F167" s="63"/>
      <c r="G167" s="63" t="s">
        <v>136</v>
      </c>
      <c r="H167" s="63"/>
      <c r="I167" s="64"/>
      <c r="J167" s="64"/>
      <c r="K167" s="63" t="s">
        <v>192</v>
      </c>
      <c r="L167" s="63"/>
      <c r="M167" s="63"/>
      <c r="N167" s="126" t="s">
        <v>196</v>
      </c>
      <c r="O167" s="126"/>
      <c r="R167" s="10"/>
      <c r="S167" s="66"/>
      <c r="T167" s="66"/>
      <c r="U167" s="122"/>
      <c r="V167" s="121"/>
      <c r="W167" s="123"/>
      <c r="X167" s="124"/>
      <c r="Y167" s="125"/>
      <c r="Z167" s="100"/>
      <c r="AA167" s="10"/>
    </row>
    <row r="168" customFormat="false" ht="18.15" hidden="false" customHeight="true" outlineLevel="0" collapsed="false">
      <c r="B168" s="61"/>
      <c r="C168" s="62" t="str">
        <f aca="false">HYPERLINK("https://www.emi-penza.ru/p/1352.3768-06_SO_M14", "1352.3768-06 СЗ М14")</f>
        <v>1352.3768-06 СЗ М14</v>
      </c>
      <c r="D168" s="63"/>
      <c r="E168" s="63"/>
      <c r="F168" s="63"/>
      <c r="G168" s="63" t="s">
        <v>214</v>
      </c>
      <c r="H168" s="63"/>
      <c r="I168" s="64"/>
      <c r="J168" s="64"/>
      <c r="K168" s="63" t="s">
        <v>192</v>
      </c>
      <c r="L168" s="63"/>
      <c r="M168" s="63"/>
      <c r="N168" s="126" t="s">
        <v>196</v>
      </c>
      <c r="O168" s="126"/>
      <c r="R168" s="10"/>
      <c r="S168" s="66" t="n">
        <v>40</v>
      </c>
      <c r="T168" s="66"/>
      <c r="U168" s="122"/>
      <c r="V168" s="121"/>
      <c r="W168" s="123"/>
      <c r="X168" s="124"/>
      <c r="Y168" s="125"/>
      <c r="Z168" s="100"/>
      <c r="AA168" s="10"/>
    </row>
    <row r="169" customFormat="false" ht="18.15" hidden="false" customHeight="true" outlineLevel="0" collapsed="false">
      <c r="B169" s="61"/>
      <c r="C169" s="62" t="str">
        <f aca="false">HYPERLINK("https://www.emi-penza.ru/p/1352.3768-06_SO_G12", "1352.3768-06 СЗ G1/2")</f>
        <v>1352.3768-06 СЗ G1/2</v>
      </c>
      <c r="D169" s="63"/>
      <c r="E169" s="63"/>
      <c r="F169" s="63"/>
      <c r="G169" s="63" t="s">
        <v>214</v>
      </c>
      <c r="H169" s="63"/>
      <c r="I169" s="64"/>
      <c r="J169" s="64"/>
      <c r="K169" s="63" t="s">
        <v>192</v>
      </c>
      <c r="L169" s="63"/>
      <c r="M169" s="63"/>
      <c r="N169" s="126" t="s">
        <v>196</v>
      </c>
      <c r="O169" s="126"/>
      <c r="R169" s="10"/>
      <c r="S169" s="66" t="n">
        <v>47</v>
      </c>
      <c r="T169" s="66"/>
      <c r="U169" s="122"/>
      <c r="V169" s="121"/>
      <c r="W169" s="123" t="str">
        <f aca="false">IF(OR(U169=0,N169=""), "", O169*ROUND(U169,0))</f>
        <v/>
      </c>
      <c r="X169" s="124" t="str">
        <f aca="false">IF(AND(N169="", U169&lt;&gt;""),"?",IF(AND(W169&lt;&gt;0,W169&lt;&gt;""), "р.", ""))</f>
        <v/>
      </c>
      <c r="Y169" s="125" t="str">
        <f aca="false">IF(AND(S169&gt;0,U169&gt;0), S169*ROUND(U169,0) / 1000, "")</f>
        <v/>
      </c>
      <c r="Z169" s="100" t="str">
        <f aca="false">IF(AND(Y169&lt;&gt;0,Y169&lt;&gt;""), "кг", "")</f>
        <v/>
      </c>
      <c r="AA169" s="10"/>
    </row>
    <row r="170" customFormat="false" ht="18.15" hidden="false" customHeight="true" outlineLevel="0" collapsed="false">
      <c r="B170" s="61"/>
      <c r="C170" s="62" t="s">
        <v>215</v>
      </c>
      <c r="D170" s="63"/>
      <c r="E170" s="63"/>
      <c r="F170" s="63"/>
      <c r="G170" s="63" t="s">
        <v>136</v>
      </c>
      <c r="H170" s="63"/>
      <c r="I170" s="64"/>
      <c r="J170" s="64"/>
      <c r="K170" s="63" t="s">
        <v>216</v>
      </c>
      <c r="L170" s="63"/>
      <c r="M170" s="63"/>
      <c r="N170" s="126" t="s">
        <v>209</v>
      </c>
      <c r="O170" s="126"/>
      <c r="R170" s="10"/>
      <c r="S170" s="66" t="n">
        <v>32</v>
      </c>
      <c r="T170" s="66"/>
      <c r="U170" s="122"/>
      <c r="V170" s="121"/>
      <c r="W170" s="123"/>
      <c r="X170" s="124"/>
      <c r="Y170" s="125"/>
      <c r="Z170" s="100"/>
      <c r="AA170" s="10"/>
    </row>
    <row r="171" customFormat="false" ht="18.15" hidden="false" customHeight="true" outlineLevel="0" collapsed="false">
      <c r="B171" s="61"/>
      <c r="C171" s="149" t="str">
        <f aca="false">HYPERLINK("https://www.emi-penza.ru/p/1352.3768-20_SO", "1352.3768-20 СЗ")</f>
        <v>1352.3768-20 СЗ</v>
      </c>
      <c r="D171" s="146"/>
      <c r="E171" s="146"/>
      <c r="F171" s="146"/>
      <c r="G171" s="146" t="s">
        <v>176</v>
      </c>
      <c r="H171" s="146"/>
      <c r="I171" s="150"/>
      <c r="J171" s="150"/>
      <c r="K171" s="146" t="s">
        <v>192</v>
      </c>
      <c r="L171" s="146"/>
      <c r="M171" s="146"/>
      <c r="N171" s="169" t="s">
        <v>196</v>
      </c>
      <c r="O171" s="169"/>
      <c r="R171" s="10"/>
      <c r="S171" s="152" t="n">
        <v>40</v>
      </c>
      <c r="T171" s="152"/>
      <c r="U171" s="79"/>
      <c r="V171" s="168"/>
      <c r="W171" s="80" t="str">
        <f aca="false">IF(OR(U171=0,N171=""), "", O171*ROUND(U171,0))</f>
        <v/>
      </c>
      <c r="X171" s="100" t="str">
        <f aca="false">IF(AND(N171="", U171&lt;&gt;""),"?",IF(AND(W171&lt;&gt;0,W171&lt;&gt;""), "р.", ""))</f>
        <v/>
      </c>
      <c r="Y171" s="82" t="str">
        <f aca="false">IF(AND(S171&gt;0,U171&gt;0), S171*ROUND(U171,0) / 1000, "")</f>
        <v/>
      </c>
      <c r="Z171" s="134" t="str">
        <f aca="false">IF(AND(Y171&lt;&gt;0,Y171&lt;&gt;""), "кг", "")</f>
        <v/>
      </c>
      <c r="AA171" s="10"/>
    </row>
    <row r="172" customFormat="false" ht="14.15" hidden="false" customHeight="true" outlineLevel="0" collapsed="false">
      <c r="B172" s="3"/>
      <c r="C172" s="116"/>
      <c r="D172" s="117"/>
      <c r="E172" s="117"/>
      <c r="F172" s="117"/>
      <c r="G172" s="117"/>
      <c r="H172" s="117"/>
      <c r="I172" s="118"/>
      <c r="J172" s="118"/>
      <c r="K172" s="117"/>
      <c r="L172" s="117"/>
      <c r="M172" s="117"/>
      <c r="N172" s="120"/>
      <c r="O172" s="120"/>
      <c r="R172" s="10"/>
      <c r="S172" s="121"/>
      <c r="T172" s="121"/>
      <c r="U172" s="132"/>
      <c r="V172" s="131"/>
      <c r="W172" s="133" t="str">
        <f aca="false">IF(OR(U172=0,N172=""), "", O172*ROUND(U172,0))</f>
        <v/>
      </c>
      <c r="X172" s="134" t="str">
        <f aca="false">IF(AND(N172="", U172&lt;&gt;""),"?",IF(AND(W172&lt;&gt;0,W172&lt;&gt;""), "р.", ""))</f>
        <v/>
      </c>
      <c r="Y172" s="135" t="str">
        <f aca="false">IF(AND(S172&gt;0,U172&gt;0), S172*ROUND(U172,0) / 1000, "")</f>
        <v/>
      </c>
      <c r="Z172" s="124"/>
      <c r="AA172" s="10"/>
    </row>
    <row r="173" customFormat="false" ht="9.95" hidden="false" customHeight="true" outlineLevel="0" collapsed="false">
      <c r="B173" s="3"/>
      <c r="R173" s="10"/>
      <c r="S173" s="136"/>
      <c r="T173" s="136"/>
      <c r="U173" s="137"/>
      <c r="V173" s="136"/>
      <c r="W173" s="12" t="str">
        <f aca="false">IF(OR(U173=0,N173=""), "", O173*ROUND(U173,0))</f>
        <v/>
      </c>
      <c r="X173" s="143" t="str">
        <f aca="false">IF(AND(N173="", U173&lt;&gt;""),"?",IF(AND(W173&lt;&gt;0,W173&lt;&gt;""), "р.", ""))</f>
        <v/>
      </c>
      <c r="Y173" s="14" t="str">
        <f aca="false">IF(AND(S173&gt;0,U173&gt;0), S173*ROUND(U173,0) / 1000, "")</f>
        <v/>
      </c>
      <c r="Z173" s="143" t="str">
        <f aca="false">IF(AND(Y173&lt;&gt;0,Y173&lt;&gt;""), "кг", "")</f>
        <v/>
      </c>
      <c r="AA173" s="10"/>
    </row>
    <row r="174" customFormat="false" ht="22.7" hidden="false" customHeight="true" outlineLevel="0" collapsed="false">
      <c r="B174" s="3"/>
      <c r="C174" s="51" t="s">
        <v>217</v>
      </c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3"/>
      <c r="O174" s="53"/>
      <c r="R174" s="10"/>
      <c r="S174" s="138"/>
      <c r="T174" s="138"/>
      <c r="U174" s="139"/>
      <c r="V174" s="138"/>
      <c r="W174" s="140" t="str">
        <f aca="false">IF(OR(U174=0,N174=""), "", O174*ROUND(U174,0))</f>
        <v/>
      </c>
      <c r="X174" s="141" t="str">
        <f aca="false">IF(AND(N174="", U174&lt;&gt;""),"?",IF(AND(W174&lt;&gt;0,W174&lt;&gt;""), "р.", ""))</f>
        <v/>
      </c>
      <c r="Y174" s="142" t="str">
        <f aca="false">IF(AND(S174&gt;0,U174&gt;0), S174*ROUND(U174,0) / 1000, "")</f>
        <v/>
      </c>
      <c r="Z174" s="141" t="str">
        <f aca="false">IF(AND(Y174&lt;&gt;0,Y174&lt;&gt;""), "кг", "")</f>
        <v/>
      </c>
      <c r="AA174" s="10"/>
    </row>
    <row r="175" customFormat="false" ht="2.85" hidden="false" customHeight="true" outlineLevel="0" collapsed="false">
      <c r="B175" s="3"/>
      <c r="R175" s="10"/>
      <c r="S175" s="136"/>
      <c r="T175" s="136"/>
      <c r="U175" s="137"/>
      <c r="V175" s="136"/>
      <c r="W175" s="12" t="str">
        <f aca="false">IF(OR(U175=0,N175=""), "", O175*ROUND(U175,0))</f>
        <v/>
      </c>
      <c r="X175" s="143" t="str">
        <f aca="false">IF(AND(N175="", U175&lt;&gt;""),"?",IF(AND(W175&lt;&gt;0,W175&lt;&gt;""), "р.", ""))</f>
        <v/>
      </c>
      <c r="Y175" s="14" t="str">
        <f aca="false">IF(AND(S175&gt;0,U175&gt;0), S175*ROUND(U175,0) / 1000, "")</f>
        <v/>
      </c>
      <c r="Z175" s="143" t="str">
        <f aca="false">IF(AND(Y175&lt;&gt;0,Y175&lt;&gt;""), "кг", "")</f>
        <v/>
      </c>
      <c r="AA175" s="10"/>
    </row>
    <row r="176" customFormat="false" ht="14.45" hidden="false" customHeight="true" outlineLevel="0" collapsed="false">
      <c r="B176" s="73"/>
      <c r="C176" s="74" t="str">
        <f aca="false">HYPERLINK("http://www.emi-penza.ru/p/215/", "21.3772")</f>
        <v>21.3772</v>
      </c>
      <c r="D176" s="75" t="s">
        <v>218</v>
      </c>
      <c r="E176" s="75"/>
      <c r="F176" s="75"/>
      <c r="G176" s="75" t="s">
        <v>219</v>
      </c>
      <c r="H176" s="75"/>
      <c r="I176" s="76" t="s">
        <v>220</v>
      </c>
      <c r="J176" s="76"/>
      <c r="K176" s="75" t="s">
        <v>221</v>
      </c>
      <c r="L176" s="75"/>
      <c r="M176" s="75"/>
      <c r="N176" s="77" t="n">
        <v>144</v>
      </c>
      <c r="O176" s="77" t="n">
        <f aca="false">ROUND(N176*1.2, 2)</f>
        <v>172.8</v>
      </c>
      <c r="R176" s="10"/>
      <c r="S176" s="78" t="n">
        <v>95</v>
      </c>
      <c r="T176" s="78"/>
      <c r="U176" s="79" t="n">
        <v>0</v>
      </c>
      <c r="V176" s="78"/>
      <c r="W176" s="80" t="str">
        <f aca="false">IF(OR(U176=0,N176=""), "", O176*ROUND(U176,0))</f>
        <v/>
      </c>
      <c r="X176" s="100" t="str">
        <f aca="false">IF(AND(N176="", U176&lt;&gt;""),"?",IF(AND(W176&lt;&gt;0,W176&lt;&gt;""), "р.", ""))</f>
        <v/>
      </c>
      <c r="Y176" s="82" t="str">
        <f aca="false">IF(AND(S176&gt;0,U176&gt;0), S176*ROUND(U176,0) / 1000, "")</f>
        <v/>
      </c>
      <c r="Z176" s="100" t="str">
        <f aca="false">IF(AND(Y176&lt;&gt;0,Y176&lt;&gt;""), "кг", "")</f>
        <v/>
      </c>
      <c r="AA176" s="10"/>
    </row>
    <row r="177" customFormat="false" ht="14.45" hidden="false" customHeight="true" outlineLevel="0" collapsed="false">
      <c r="B177" s="84"/>
      <c r="C177" s="85"/>
      <c r="D177" s="86" t="s">
        <v>222</v>
      </c>
      <c r="E177" s="86"/>
      <c r="F177" s="86"/>
      <c r="G177" s="86" t="s">
        <v>223</v>
      </c>
      <c r="H177" s="86"/>
      <c r="I177" s="87"/>
      <c r="J177" s="87"/>
      <c r="K177" s="86"/>
      <c r="L177" s="86"/>
      <c r="M177" s="86"/>
      <c r="N177" s="88"/>
      <c r="O177" s="88"/>
      <c r="R177" s="10"/>
      <c r="S177" s="89"/>
      <c r="T177" s="89"/>
      <c r="U177" s="90"/>
      <c r="V177" s="89"/>
      <c r="W177" s="91" t="str">
        <f aca="false">IF(OR(U177=0,N177=""), "", O177*ROUND(U177,0))</f>
        <v/>
      </c>
      <c r="X177" s="101" t="str">
        <f aca="false">IF(AND(N177="", U177&lt;&gt;""),"?",IF(AND(W177&lt;&gt;0,W177&lt;&gt;""), "р.", ""))</f>
        <v/>
      </c>
      <c r="Y177" s="93" t="str">
        <f aca="false">IF(AND(S177&gt;0,U177&gt;0), S177*ROUND(U177,0) / 1000, "")</f>
        <v/>
      </c>
      <c r="Z177" s="101" t="str">
        <f aca="false">IF(AND(Y177&lt;&gt;0,Y177&lt;&gt;""), "кг", "")</f>
        <v/>
      </c>
      <c r="AA177" s="10"/>
    </row>
    <row r="178" customFormat="false" ht="14.45" hidden="false" customHeight="true" outlineLevel="0" collapsed="false">
      <c r="B178" s="73"/>
      <c r="C178" s="170" t="str">
        <f aca="false">HYPERLINK("http://www.emi-penza.ru/p/232/", "773.3702-01 с ЩУ")</f>
        <v>773.3702-01 с ЩУ</v>
      </c>
      <c r="D178" s="1" t="s">
        <v>224</v>
      </c>
      <c r="E178" s="75"/>
      <c r="F178" s="75"/>
      <c r="G178" s="75" t="s">
        <v>219</v>
      </c>
      <c r="H178" s="75"/>
      <c r="I178" s="76" t="s">
        <v>220</v>
      </c>
      <c r="J178" s="76"/>
      <c r="K178" s="75" t="s">
        <v>225</v>
      </c>
      <c r="L178" s="75"/>
      <c r="M178" s="95" t="s">
        <v>226</v>
      </c>
      <c r="N178" s="77" t="n">
        <v>152.4</v>
      </c>
      <c r="O178" s="77" t="n">
        <f aca="false">ROUND(N178*1.2, 2)</f>
        <v>182.88</v>
      </c>
      <c r="R178" s="10"/>
      <c r="S178" s="78" t="n">
        <v>95</v>
      </c>
      <c r="T178" s="78"/>
      <c r="U178" s="79" t="n">
        <v>0</v>
      </c>
      <c r="V178" s="78"/>
      <c r="W178" s="80" t="str">
        <f aca="false">IF(OR(U178=0,N178=""), "", O178*ROUND(U178,0))</f>
        <v/>
      </c>
      <c r="X178" s="100" t="str">
        <f aca="false">IF(AND(N178="", U178&lt;&gt;""),"?",IF(AND(W178&lt;&gt;0,W178&lt;&gt;""), "р.", ""))</f>
        <v/>
      </c>
      <c r="Y178" s="82" t="str">
        <f aca="false">IF(AND(S178&gt;0,U178&gt;0), S178*ROUND(U178,0) / 1000, "")</f>
        <v/>
      </c>
      <c r="Z178" s="100" t="str">
        <f aca="false">IF(AND(Y178&lt;&gt;0,Y178&lt;&gt;""), "кг", "")</f>
        <v/>
      </c>
      <c r="AA178" s="10"/>
    </row>
    <row r="179" customFormat="false" ht="14.45" hidden="false" customHeight="true" outlineLevel="0" collapsed="false">
      <c r="B179" s="84"/>
      <c r="C179" s="170"/>
      <c r="D179" s="86" t="s">
        <v>227</v>
      </c>
      <c r="E179" s="86"/>
      <c r="F179" s="86"/>
      <c r="G179" s="86"/>
      <c r="H179" s="86"/>
      <c r="I179" s="87"/>
      <c r="J179" s="87"/>
      <c r="K179" s="86" t="s">
        <v>228</v>
      </c>
      <c r="L179" s="86"/>
      <c r="M179" s="97" t="s">
        <v>229</v>
      </c>
      <c r="N179" s="88" t="n">
        <v>154.4</v>
      </c>
      <c r="O179" s="88" t="n">
        <f aca="false">ROUND(N179*1.2, 2)</f>
        <v>185.28</v>
      </c>
      <c r="R179" s="10"/>
      <c r="S179" s="89" t="n">
        <v>95</v>
      </c>
      <c r="T179" s="89"/>
      <c r="U179" s="90" t="n">
        <v>0</v>
      </c>
      <c r="V179" s="89"/>
      <c r="W179" s="91" t="str">
        <f aca="false">IF(OR(U179=0,N179=""), "", O179*ROUND(U179,0))</f>
        <v/>
      </c>
      <c r="X179" s="101" t="str">
        <f aca="false">IF(AND(N179="", U179&lt;&gt;""),"?",IF(AND(W179&lt;&gt;0,W179&lt;&gt;""), "р.", ""))</f>
        <v/>
      </c>
      <c r="Y179" s="93" t="str">
        <f aca="false">IF(AND(S179&gt;0,U179&gt;0), S179*ROUND(U179,0) / 1000, "")</f>
        <v/>
      </c>
      <c r="Z179" s="101" t="str">
        <f aca="false">IF(AND(Y179&lt;&gt;0,Y179&lt;&gt;""), "кг", "")</f>
        <v/>
      </c>
      <c r="AA179" s="10"/>
    </row>
    <row r="180" customFormat="false" ht="14.45" hidden="false" customHeight="true" outlineLevel="0" collapsed="false">
      <c r="B180" s="73"/>
      <c r="C180" s="170" t="str">
        <f aca="false">HYPERLINK("http://www.emi-penza.ru/p/231/", "77.3702-01 с ЩУ  ")</f>
        <v>77.3702-01 с ЩУ  </v>
      </c>
      <c r="D180" s="75" t="s">
        <v>230</v>
      </c>
      <c r="E180" s="75"/>
      <c r="F180" s="75"/>
      <c r="G180" s="75" t="s">
        <v>219</v>
      </c>
      <c r="H180" s="75"/>
      <c r="I180" s="76" t="s">
        <v>231</v>
      </c>
      <c r="J180" s="76"/>
      <c r="K180" s="75" t="s">
        <v>232</v>
      </c>
      <c r="L180" s="75"/>
      <c r="M180" s="95" t="s">
        <v>226</v>
      </c>
      <c r="N180" s="77" t="n">
        <v>160.4</v>
      </c>
      <c r="O180" s="77" t="n">
        <f aca="false">ROUND(N180*1.2, 2)</f>
        <v>192.48</v>
      </c>
      <c r="R180" s="10"/>
      <c r="S180" s="78" t="n">
        <v>95</v>
      </c>
      <c r="T180" s="78"/>
      <c r="U180" s="79" t="n">
        <v>0</v>
      </c>
      <c r="V180" s="78"/>
      <c r="W180" s="80" t="str">
        <f aca="false">IF(OR(U180=0,N180=""), "", O180*ROUND(U180,0))</f>
        <v/>
      </c>
      <c r="X180" s="100" t="str">
        <f aca="false">IF(AND(N180="", U180&lt;&gt;""),"?",IF(AND(W180&lt;&gt;0,W180&lt;&gt;""), "р.", ""))</f>
        <v/>
      </c>
      <c r="Y180" s="82" t="str">
        <f aca="false">IF(AND(S180&gt;0,U180&gt;0), S180*ROUND(U180,0) / 1000, "")</f>
        <v/>
      </c>
      <c r="Z180" s="100" t="str">
        <f aca="false">IF(AND(Y180&lt;&gt;0,Y180&lt;&gt;""), "кг", "")</f>
        <v/>
      </c>
      <c r="AA180" s="10"/>
    </row>
    <row r="181" customFormat="false" ht="14.45" hidden="false" customHeight="true" outlineLevel="0" collapsed="false">
      <c r="B181" s="84"/>
      <c r="C181" s="170"/>
      <c r="D181" s="86" t="s">
        <v>233</v>
      </c>
      <c r="E181" s="86"/>
      <c r="F181" s="86"/>
      <c r="G181" s="86"/>
      <c r="H181" s="86"/>
      <c r="I181" s="87"/>
      <c r="J181" s="87"/>
      <c r="K181" s="86" t="s">
        <v>234</v>
      </c>
      <c r="L181" s="86"/>
      <c r="M181" s="97" t="s">
        <v>229</v>
      </c>
      <c r="N181" s="88" t="n">
        <v>162.4</v>
      </c>
      <c r="O181" s="88" t="n">
        <f aca="false">ROUND(N181*1.2, 2)</f>
        <v>194.88</v>
      </c>
      <c r="R181" s="10"/>
      <c r="S181" s="89" t="n">
        <v>95</v>
      </c>
      <c r="T181" s="89"/>
      <c r="U181" s="90" t="n">
        <v>0</v>
      </c>
      <c r="V181" s="89"/>
      <c r="W181" s="91" t="str">
        <f aca="false">IF(OR(U181=0,N181=""), "", O181*ROUND(U181,0))</f>
        <v/>
      </c>
      <c r="X181" s="101" t="str">
        <f aca="false">IF(AND(N181="", U181&lt;&gt;""),"?",IF(AND(W181&lt;&gt;0,W181&lt;&gt;""), "р.", ""))</f>
        <v/>
      </c>
      <c r="Y181" s="93" t="str">
        <f aca="false">IF(AND(S181&gt;0,U181&gt;0), S181*ROUND(U181,0) / 1000, "")</f>
        <v/>
      </c>
      <c r="Z181" s="101" t="str">
        <f aca="false">IF(AND(Y181&lt;&gt;0,Y181&lt;&gt;""), "кг", "")</f>
        <v/>
      </c>
      <c r="AA181" s="10"/>
    </row>
    <row r="182" customFormat="false" ht="14.45" hidden="false" customHeight="true" outlineLevel="0" collapsed="false">
      <c r="B182" s="84"/>
      <c r="C182" s="74" t="str">
        <f aca="false">HYPERLINK("http://www.emi-penza.ru/p/201/", "77.3702")</f>
        <v>77.3702</v>
      </c>
      <c r="D182" s="75" t="s">
        <v>235</v>
      </c>
      <c r="E182" s="75"/>
      <c r="F182" s="75"/>
      <c r="G182" s="75" t="s">
        <v>219</v>
      </c>
      <c r="H182" s="75"/>
      <c r="I182" s="76" t="s">
        <v>231</v>
      </c>
      <c r="J182" s="76"/>
      <c r="K182" s="75" t="s">
        <v>236</v>
      </c>
      <c r="L182" s="75"/>
      <c r="M182" s="75"/>
      <c r="N182" s="77" t="n">
        <v>89.95</v>
      </c>
      <c r="O182" s="77" t="n">
        <f aca="false">ROUND(N182*1.2, 2)</f>
        <v>107.94</v>
      </c>
      <c r="R182" s="10"/>
      <c r="S182" s="78" t="n">
        <v>22</v>
      </c>
      <c r="T182" s="78"/>
      <c r="U182" s="79" t="n">
        <v>0</v>
      </c>
      <c r="V182" s="78"/>
      <c r="W182" s="80" t="str">
        <f aca="false">IF(OR(U182=0,N182=""), "", O182*ROUND(U182,0))</f>
        <v/>
      </c>
      <c r="X182" s="100" t="str">
        <f aca="false">IF(AND(N182="", U182&lt;&gt;""),"?",IF(AND(W182&lt;&gt;0,W182&lt;&gt;""), "р.", ""))</f>
        <v/>
      </c>
      <c r="Y182" s="82" t="str">
        <f aca="false">IF(AND(S182&gt;0,U182&gt;0), S182*ROUND(U182,0) / 1000, "")</f>
        <v/>
      </c>
      <c r="Z182" s="100" t="str">
        <f aca="false">IF(AND(Y182&lt;&gt;0,Y182&lt;&gt;""), "кг", "")</f>
        <v/>
      </c>
      <c r="AA182" s="10"/>
    </row>
    <row r="183" customFormat="false" ht="14.45" hidden="false" customHeight="true" outlineLevel="0" collapsed="false">
      <c r="B183" s="84"/>
      <c r="C183" s="85"/>
      <c r="D183" s="86"/>
      <c r="E183" s="86"/>
      <c r="F183" s="86"/>
      <c r="G183" s="86"/>
      <c r="H183" s="86"/>
      <c r="I183" s="87"/>
      <c r="J183" s="87"/>
      <c r="K183" s="86"/>
      <c r="L183" s="86"/>
      <c r="M183" s="171" t="s">
        <v>237</v>
      </c>
      <c r="N183" s="88" t="n">
        <v>98</v>
      </c>
      <c r="O183" s="88" t="n">
        <f aca="false">ROUND(N183*1.2, 2)</f>
        <v>117.6</v>
      </c>
      <c r="R183" s="10"/>
      <c r="S183" s="89" t="n">
        <v>26</v>
      </c>
      <c r="T183" s="89"/>
      <c r="U183" s="90" t="n">
        <v>0</v>
      </c>
      <c r="V183" s="89"/>
      <c r="W183" s="91" t="str">
        <f aca="false">IF(OR(U183=0,N183=""), "", O183*ROUND(U183,0))</f>
        <v/>
      </c>
      <c r="X183" s="101" t="str">
        <f aca="false">IF(AND(N183="", U183&lt;&gt;""),"?",IF(AND(W183&lt;&gt;0,W183&lt;&gt;""), "р.", ""))</f>
        <v/>
      </c>
      <c r="Y183" s="93" t="str">
        <f aca="false">IF(AND(S183&gt;0,U183&gt;0), S183*ROUND(U183,0) / 1000, "")</f>
        <v/>
      </c>
      <c r="Z183" s="101" t="str">
        <f aca="false">IF(AND(Y183&lt;&gt;0,Y183&lt;&gt;""), "кг", "")</f>
        <v/>
      </c>
      <c r="AA183" s="10"/>
    </row>
    <row r="184" customFormat="false" ht="14.45" hidden="false" customHeight="true" outlineLevel="0" collapsed="false">
      <c r="B184" s="73"/>
      <c r="C184" s="74" t="str">
        <f aca="false">HYPERLINK("http://www.emi-penza.ru/p/220/", "77.3702-01")</f>
        <v>77.3702-01</v>
      </c>
      <c r="D184" s="75" t="s">
        <v>238</v>
      </c>
      <c r="E184" s="75"/>
      <c r="F184" s="75"/>
      <c r="G184" s="75" t="s">
        <v>219</v>
      </c>
      <c r="H184" s="75"/>
      <c r="I184" s="76" t="s">
        <v>231</v>
      </c>
      <c r="J184" s="76"/>
      <c r="K184" s="75" t="s">
        <v>239</v>
      </c>
      <c r="L184" s="75"/>
      <c r="M184" s="75"/>
      <c r="N184" s="77" t="n">
        <v>99.95</v>
      </c>
      <c r="O184" s="77" t="n">
        <f aca="false">ROUND(N184*1.2, 2)</f>
        <v>119.94</v>
      </c>
      <c r="R184" s="10"/>
      <c r="S184" s="78" t="n">
        <v>22</v>
      </c>
      <c r="T184" s="78"/>
      <c r="U184" s="79" t="n">
        <v>0</v>
      </c>
      <c r="V184" s="78"/>
      <c r="W184" s="80" t="str">
        <f aca="false">IF(OR(U184=0,N184=""), "", O184*ROUND(U184,0))</f>
        <v/>
      </c>
      <c r="X184" s="100" t="str">
        <f aca="false">IF(AND(N184="", U184&lt;&gt;""),"?",IF(AND(W184&lt;&gt;0,W184&lt;&gt;""), "р.", ""))</f>
        <v/>
      </c>
      <c r="Y184" s="82" t="str">
        <f aca="false">IF(AND(S184&gt;0,U184&gt;0), S184*ROUND(U184,0) / 1000, "")</f>
        <v/>
      </c>
      <c r="Z184" s="100" t="str">
        <f aca="false">IF(AND(Y184&lt;&gt;0,Y184&lt;&gt;""), "кг", "")</f>
        <v/>
      </c>
      <c r="AA184" s="10"/>
    </row>
    <row r="185" customFormat="false" ht="14.45" hidden="false" customHeight="true" outlineLevel="0" collapsed="false">
      <c r="B185" s="84"/>
      <c r="C185" s="85"/>
      <c r="D185" s="86" t="s">
        <v>240</v>
      </c>
      <c r="E185" s="86"/>
      <c r="F185" s="86"/>
      <c r="G185" s="86"/>
      <c r="H185" s="86"/>
      <c r="I185" s="87"/>
      <c r="J185" s="87"/>
      <c r="K185" s="86" t="s">
        <v>241</v>
      </c>
      <c r="L185" s="86"/>
      <c r="M185" s="171" t="s">
        <v>64</v>
      </c>
      <c r="N185" s="88" t="n">
        <v>104</v>
      </c>
      <c r="O185" s="88" t="n">
        <f aca="false">ROUND(N185*1.2, 2)</f>
        <v>124.8</v>
      </c>
      <c r="R185" s="10"/>
      <c r="S185" s="89" t="n">
        <v>26</v>
      </c>
      <c r="T185" s="89"/>
      <c r="U185" s="90" t="n">
        <v>0</v>
      </c>
      <c r="V185" s="89"/>
      <c r="W185" s="91" t="str">
        <f aca="false">IF(OR(U185=0,N185=""), "", O185*ROUND(U185,0))</f>
        <v/>
      </c>
      <c r="X185" s="101" t="str">
        <f aca="false">IF(AND(N185="", U185&lt;&gt;""),"?",IF(AND(W185&lt;&gt;0,W185&lt;&gt;""), "р.", ""))</f>
        <v/>
      </c>
      <c r="Y185" s="93" t="str">
        <f aca="false">IF(AND(S185&gt;0,U185&gt;0), S185*ROUND(U185,0) / 1000, "")</f>
        <v/>
      </c>
      <c r="Z185" s="101" t="str">
        <f aca="false">IF(AND(Y185&lt;&gt;0,Y185&lt;&gt;""), "кг", "")</f>
        <v/>
      </c>
      <c r="AA185" s="10"/>
    </row>
    <row r="186" customFormat="false" ht="14.45" hidden="false" customHeight="true" outlineLevel="0" collapsed="false">
      <c r="B186" s="73"/>
      <c r="C186" s="74" t="str">
        <f aca="false">HYPERLINK("http://www.emi-penza.ru/p/234/", "77.3702-02")</f>
        <v>77.3702-02</v>
      </c>
      <c r="D186" s="75" t="s">
        <v>242</v>
      </c>
      <c r="E186" s="75"/>
      <c r="F186" s="75"/>
      <c r="G186" s="75" t="s">
        <v>219</v>
      </c>
      <c r="H186" s="75"/>
      <c r="I186" s="76" t="s">
        <v>231</v>
      </c>
      <c r="J186" s="76"/>
      <c r="K186" s="75" t="s">
        <v>243</v>
      </c>
      <c r="L186" s="75"/>
      <c r="M186" s="75"/>
      <c r="N186" s="77" t="n">
        <v>116.5</v>
      </c>
      <c r="O186" s="77" t="n">
        <f aca="false">ROUND(N186*1.2, 2)</f>
        <v>139.8</v>
      </c>
      <c r="R186" s="10"/>
      <c r="S186" s="78" t="n">
        <v>22</v>
      </c>
      <c r="T186" s="78"/>
      <c r="U186" s="79" t="n">
        <v>0</v>
      </c>
      <c r="V186" s="78"/>
      <c r="W186" s="80" t="str">
        <f aca="false">IF(OR(U186=0,N186=""), "", O186*ROUND(U186,0))</f>
        <v/>
      </c>
      <c r="X186" s="100" t="str">
        <f aca="false">IF(AND(N186="", U186&lt;&gt;""),"?",IF(AND(W186&lt;&gt;0,W186&lt;&gt;""), "р.", ""))</f>
        <v/>
      </c>
      <c r="Y186" s="82" t="str">
        <f aca="false">IF(AND(S186&gt;0,U186&gt;0), S186*ROUND(U186,0) / 1000, "")</f>
        <v/>
      </c>
      <c r="Z186" s="100" t="str">
        <f aca="false">IF(AND(Y186&lt;&gt;0,Y186&lt;&gt;""), "кг", "")</f>
        <v/>
      </c>
      <c r="AA186" s="10"/>
    </row>
    <row r="187" customFormat="false" ht="14.45" hidden="false" customHeight="true" outlineLevel="0" collapsed="false">
      <c r="B187" s="84"/>
      <c r="C187" s="85"/>
      <c r="D187" s="86"/>
      <c r="E187" s="86"/>
      <c r="F187" s="86"/>
      <c r="G187" s="86"/>
      <c r="H187" s="86"/>
      <c r="I187" s="87"/>
      <c r="J187" s="87"/>
      <c r="K187" s="86" t="s">
        <v>244</v>
      </c>
      <c r="L187" s="86"/>
      <c r="M187" s="171"/>
      <c r="N187" s="88"/>
      <c r="O187" s="88"/>
      <c r="R187" s="10"/>
      <c r="S187" s="89"/>
      <c r="T187" s="89"/>
      <c r="U187" s="90"/>
      <c r="V187" s="89"/>
      <c r="W187" s="91"/>
      <c r="X187" s="101"/>
      <c r="Y187" s="93"/>
      <c r="Z187" s="101"/>
      <c r="AA187" s="10"/>
    </row>
    <row r="188" customFormat="false" ht="18.15" hidden="false" customHeight="true" outlineLevel="0" collapsed="false">
      <c r="B188" s="61"/>
      <c r="C188" s="62" t="str">
        <f aca="false">HYPERLINK("http://www.emi-penza.ru/p/207/", "83.3702")</f>
        <v>83.3702</v>
      </c>
      <c r="D188" s="63" t="s">
        <v>245</v>
      </c>
      <c r="E188" s="63"/>
      <c r="F188" s="63"/>
      <c r="G188" s="63" t="s">
        <v>219</v>
      </c>
      <c r="H188" s="63"/>
      <c r="I188" s="64" t="s">
        <v>220</v>
      </c>
      <c r="J188" s="64"/>
      <c r="K188" s="63" t="s">
        <v>246</v>
      </c>
      <c r="L188" s="63"/>
      <c r="M188" s="63"/>
      <c r="N188" s="65" t="n">
        <v>91.45</v>
      </c>
      <c r="O188" s="65" t="n">
        <f aca="false">ROUND(N188*1.2, 2)</f>
        <v>109.74</v>
      </c>
      <c r="R188" s="10"/>
      <c r="S188" s="66" t="n">
        <v>45</v>
      </c>
      <c r="T188" s="66"/>
      <c r="U188" s="67" t="n">
        <v>0</v>
      </c>
      <c r="V188" s="66"/>
      <c r="W188" s="72" t="str">
        <f aca="false">IF(OR(U188=0,N188=""), "", O188*ROUND(U188,0))</f>
        <v/>
      </c>
      <c r="X188" s="99" t="str">
        <f aca="false">IF(AND(N188="", U188&lt;&gt;""),"?",IF(AND(W188&lt;&gt;0,W188&lt;&gt;""), "р.", ""))</f>
        <v/>
      </c>
      <c r="Y188" s="70" t="str">
        <f aca="false">IF(AND(S188&gt;0,U188&gt;0), S188*ROUND(U188,0) / 1000, "")</f>
        <v/>
      </c>
      <c r="Z188" s="99" t="str">
        <f aca="false">IF(AND(Y188&lt;&gt;0,Y188&lt;&gt;""), "кг", "")</f>
        <v/>
      </c>
      <c r="AA188" s="10"/>
    </row>
    <row r="189" customFormat="false" ht="14.45" hidden="false" customHeight="true" outlineLevel="0" collapsed="false">
      <c r="B189" s="73"/>
      <c r="C189" s="74" t="str">
        <f aca="false">HYPERLINK("http://www.emi-penza.ru/p/208/", "91.3702")</f>
        <v>91.3702</v>
      </c>
      <c r="D189" s="75" t="s">
        <v>247</v>
      </c>
      <c r="E189" s="75"/>
      <c r="F189" s="75"/>
      <c r="G189" s="75" t="s">
        <v>219</v>
      </c>
      <c r="H189" s="75"/>
      <c r="I189" s="76" t="s">
        <v>220</v>
      </c>
      <c r="J189" s="76"/>
      <c r="K189" s="75" t="s">
        <v>248</v>
      </c>
      <c r="L189" s="75"/>
      <c r="M189" s="75"/>
      <c r="N189" s="77"/>
      <c r="O189" s="77"/>
      <c r="R189" s="10"/>
      <c r="S189" s="78" t="n">
        <v>38</v>
      </c>
      <c r="T189" s="78"/>
      <c r="U189" s="79"/>
      <c r="V189" s="78"/>
      <c r="W189" s="80" t="str">
        <f aca="false">IF(OR(U189=0,N189=""), "", O189*ROUND(U189,0))</f>
        <v/>
      </c>
      <c r="X189" s="100" t="str">
        <f aca="false">IF(AND(N189="", U189&lt;&gt;""),"?",IF(AND(W189&lt;&gt;0,W189&lt;&gt;""), "р.", ""))</f>
        <v/>
      </c>
      <c r="Y189" s="82" t="str">
        <f aca="false">IF(AND(S189&gt;0,U189&gt;0), S189*ROUND(U189,0) / 1000, "")</f>
        <v/>
      </c>
      <c r="Z189" s="100" t="str">
        <f aca="false">IF(AND(Y189&lt;&gt;0,Y189&lt;&gt;""), "кг", "")</f>
        <v/>
      </c>
      <c r="AA189" s="10"/>
    </row>
    <row r="190" customFormat="false" ht="14.45" hidden="false" customHeight="true" outlineLevel="0" collapsed="false">
      <c r="B190" s="84"/>
      <c r="C190" s="85"/>
      <c r="D190" s="86"/>
      <c r="E190" s="86"/>
      <c r="F190" s="86"/>
      <c r="G190" s="86"/>
      <c r="H190" s="86"/>
      <c r="I190" s="87"/>
      <c r="J190" s="87"/>
      <c r="K190" s="86"/>
      <c r="L190" s="86"/>
      <c r="M190" s="171" t="s">
        <v>249</v>
      </c>
      <c r="N190" s="88" t="n">
        <v>96.95</v>
      </c>
      <c r="O190" s="88" t="n">
        <f aca="false">ROUND(N190*1.2, 2)</f>
        <v>116.34</v>
      </c>
      <c r="R190" s="10"/>
      <c r="S190" s="89" t="n">
        <v>47</v>
      </c>
      <c r="T190" s="89"/>
      <c r="U190" s="90" t="n">
        <v>0</v>
      </c>
      <c r="V190" s="89"/>
      <c r="W190" s="91" t="str">
        <f aca="false">IF(OR(U190=0,N190=""), "", O190*ROUND(U190,0))</f>
        <v/>
      </c>
      <c r="X190" s="101" t="str">
        <f aca="false">IF(AND(N190="", U190&lt;&gt;""),"?",IF(AND(W190&lt;&gt;0,W190&lt;&gt;""), "р.", ""))</f>
        <v/>
      </c>
      <c r="Y190" s="93" t="str">
        <f aca="false">IF(AND(S190&gt;0,U190&gt;0), S190*ROUND(U190,0) / 1000, "")</f>
        <v/>
      </c>
      <c r="Z190" s="101" t="str">
        <f aca="false">IF(AND(Y190&lt;&gt;0,Y190&lt;&gt;""), "кг", "")</f>
        <v/>
      </c>
      <c r="AA190" s="10"/>
    </row>
    <row r="191" customFormat="false" ht="14.45" hidden="false" customHeight="true" outlineLevel="0" collapsed="false">
      <c r="B191" s="73"/>
      <c r="C191" s="74" t="str">
        <f aca="false">HYPERLINK("http://www.emi-penza.ru/p/202/", "771.3702")</f>
        <v>771.3702</v>
      </c>
      <c r="D191" s="75" t="s">
        <v>250</v>
      </c>
      <c r="E191" s="75"/>
      <c r="F191" s="75"/>
      <c r="G191" s="75" t="s">
        <v>219</v>
      </c>
      <c r="H191" s="75"/>
      <c r="I191" s="76" t="s">
        <v>220</v>
      </c>
      <c r="J191" s="76"/>
      <c r="K191" s="75" t="s">
        <v>221</v>
      </c>
      <c r="L191" s="75"/>
      <c r="M191" s="75"/>
      <c r="N191" s="77" t="n">
        <v>90.45</v>
      </c>
      <c r="O191" s="77" t="n">
        <f aca="false">ROUND(N191*1.2, 2)</f>
        <v>108.54</v>
      </c>
      <c r="R191" s="10"/>
      <c r="S191" s="78" t="n">
        <v>28</v>
      </c>
      <c r="T191" s="78"/>
      <c r="U191" s="79" t="n">
        <v>0</v>
      </c>
      <c r="V191" s="78"/>
      <c r="W191" s="80" t="str">
        <f aca="false">IF(OR(U191=0,N191=""), "", O191*ROUND(U191,0))</f>
        <v/>
      </c>
      <c r="X191" s="100" t="str">
        <f aca="false">IF(AND(N191="", U191&lt;&gt;""),"?",IF(AND(W191&lt;&gt;0,W191&lt;&gt;""), "р.", ""))</f>
        <v/>
      </c>
      <c r="Y191" s="82" t="str">
        <f aca="false">IF(AND(S191&gt;0,U191&gt;0), S191*ROUND(U191,0) / 1000, "")</f>
        <v/>
      </c>
      <c r="Z191" s="100" t="str">
        <f aca="false">IF(AND(Y191&lt;&gt;0,Y191&lt;&gt;""), "кг", "")</f>
        <v/>
      </c>
      <c r="AA191" s="10"/>
    </row>
    <row r="192" customFormat="false" ht="14.45" hidden="false" customHeight="true" outlineLevel="0" collapsed="false">
      <c r="B192" s="84"/>
      <c r="C192" s="85"/>
      <c r="D192" s="86"/>
      <c r="E192" s="86"/>
      <c r="F192" s="86"/>
      <c r="G192" s="86"/>
      <c r="H192" s="86"/>
      <c r="I192" s="87"/>
      <c r="J192" s="87"/>
      <c r="K192" s="86"/>
      <c r="L192" s="86"/>
      <c r="M192" s="171" t="s">
        <v>237</v>
      </c>
      <c r="N192" s="88" t="n">
        <v>95.95</v>
      </c>
      <c r="O192" s="88" t="n">
        <f aca="false">ROUND(N192*1.2, 2)</f>
        <v>115.14</v>
      </c>
      <c r="R192" s="10"/>
      <c r="S192" s="89" t="n">
        <v>32</v>
      </c>
      <c r="T192" s="89"/>
      <c r="U192" s="90" t="n">
        <v>0</v>
      </c>
      <c r="V192" s="89"/>
      <c r="W192" s="91" t="str">
        <f aca="false">IF(OR(U192=0,N192=""), "", O192*ROUND(U192,0))</f>
        <v/>
      </c>
      <c r="X192" s="101" t="str">
        <f aca="false">IF(AND(N192="", U192&lt;&gt;""),"?",IF(AND(W192&lt;&gt;0,W192&lt;&gt;""), "р.", ""))</f>
        <v/>
      </c>
      <c r="Y192" s="93" t="str">
        <f aca="false">IF(AND(S192&gt;0,U192&gt;0), S192*ROUND(U192,0) / 1000, "")</f>
        <v/>
      </c>
      <c r="Z192" s="101" t="str">
        <f aca="false">IF(AND(Y192&lt;&gt;0,Y192&lt;&gt;""), "кг", "")</f>
        <v/>
      </c>
      <c r="AA192" s="10"/>
    </row>
    <row r="193" customFormat="false" ht="18.15" hidden="false" customHeight="true" outlineLevel="0" collapsed="false">
      <c r="B193" s="61"/>
      <c r="C193" s="62" t="str">
        <f aca="false">HYPERLINK("http://www.emi-penza.ru/p/222/", "771.3702-01")</f>
        <v>771.3702-01</v>
      </c>
      <c r="D193" s="63" t="s">
        <v>251</v>
      </c>
      <c r="E193" s="63"/>
      <c r="F193" s="63"/>
      <c r="G193" s="63" t="s">
        <v>219</v>
      </c>
      <c r="H193" s="63"/>
      <c r="I193" s="64" t="s">
        <v>252</v>
      </c>
      <c r="J193" s="64"/>
      <c r="K193" s="63" t="s">
        <v>253</v>
      </c>
      <c r="L193" s="63"/>
      <c r="M193" s="63"/>
      <c r="N193" s="65" t="n">
        <v>98.95</v>
      </c>
      <c r="O193" s="65" t="n">
        <f aca="false">ROUND(N193*1.2, 2)</f>
        <v>118.74</v>
      </c>
      <c r="R193" s="10"/>
      <c r="S193" s="66" t="n">
        <v>30</v>
      </c>
      <c r="T193" s="66"/>
      <c r="U193" s="67" t="n">
        <v>0</v>
      </c>
      <c r="V193" s="66"/>
      <c r="W193" s="72" t="str">
        <f aca="false">IF(OR(U193=0,N193=""), "", O193*ROUND(U193,0))</f>
        <v/>
      </c>
      <c r="X193" s="99" t="str">
        <f aca="false">IF(AND(N193="", U193&lt;&gt;""),"?",IF(AND(W193&lt;&gt;0,W193&lt;&gt;""), "р.", ""))</f>
        <v/>
      </c>
      <c r="Y193" s="70" t="str">
        <f aca="false">IF(AND(S193&gt;0,U193&gt;0), S193*ROUND(U193,0) / 1000, "")</f>
        <v/>
      </c>
      <c r="Z193" s="99" t="str">
        <f aca="false">IF(AND(Y193&lt;&gt;0,Y193&lt;&gt;""), "кг", "")</f>
        <v/>
      </c>
      <c r="AA193" s="10"/>
    </row>
    <row r="194" customFormat="false" ht="14.45" hidden="false" customHeight="true" outlineLevel="0" collapsed="false">
      <c r="B194" s="73"/>
      <c r="C194" s="74" t="str">
        <f aca="false">HYPERLINK("http://www.emi-penza.ru/p/205/", "772.3702")</f>
        <v>772.3702</v>
      </c>
      <c r="D194" s="75" t="s">
        <v>254</v>
      </c>
      <c r="E194" s="75"/>
      <c r="F194" s="75"/>
      <c r="G194" s="75" t="s">
        <v>219</v>
      </c>
      <c r="H194" s="75"/>
      <c r="I194" s="76" t="s">
        <v>220</v>
      </c>
      <c r="J194" s="76"/>
      <c r="K194" s="75" t="s">
        <v>255</v>
      </c>
      <c r="L194" s="75"/>
      <c r="M194" s="75"/>
      <c r="N194" s="77" t="n">
        <v>92.45</v>
      </c>
      <c r="O194" s="77" t="n">
        <f aca="false">ROUND(N194*1.2, 2)</f>
        <v>110.94</v>
      </c>
      <c r="R194" s="10"/>
      <c r="S194" s="78" t="n">
        <v>28</v>
      </c>
      <c r="T194" s="78"/>
      <c r="U194" s="79" t="n">
        <v>0</v>
      </c>
      <c r="V194" s="78"/>
      <c r="W194" s="80" t="str">
        <f aca="false">IF(OR(U194=0,N194=""), "", O194*ROUND(U194,0))</f>
        <v/>
      </c>
      <c r="X194" s="100" t="str">
        <f aca="false">IF(AND(N194="", U194&lt;&gt;""),"?",IF(AND(W194&lt;&gt;0,W194&lt;&gt;""), "р.", ""))</f>
        <v/>
      </c>
      <c r="Y194" s="82" t="str">
        <f aca="false">IF(AND(S194&gt;0,U194&gt;0), S194*ROUND(U194,0) / 1000, "")</f>
        <v/>
      </c>
      <c r="Z194" s="100" t="str">
        <f aca="false">IF(AND(Y194&lt;&gt;0,Y194&lt;&gt;""), "кг", "")</f>
        <v/>
      </c>
      <c r="AA194" s="10"/>
    </row>
    <row r="195" customFormat="false" ht="14.45" hidden="false" customHeight="true" outlineLevel="0" collapsed="false">
      <c r="B195" s="84"/>
      <c r="C195" s="85"/>
      <c r="D195" s="86"/>
      <c r="E195" s="86"/>
      <c r="F195" s="86"/>
      <c r="G195" s="86"/>
      <c r="H195" s="86"/>
      <c r="I195" s="87"/>
      <c r="J195" s="87"/>
      <c r="K195" s="86"/>
      <c r="L195" s="86"/>
      <c r="M195" s="171" t="s">
        <v>237</v>
      </c>
      <c r="N195" s="88" t="n">
        <v>97.95</v>
      </c>
      <c r="O195" s="88" t="n">
        <f aca="false">ROUND(N195*1.2, 2)</f>
        <v>117.54</v>
      </c>
      <c r="R195" s="10"/>
      <c r="S195" s="89" t="n">
        <v>32</v>
      </c>
      <c r="T195" s="89"/>
      <c r="U195" s="90" t="n">
        <v>0</v>
      </c>
      <c r="V195" s="89"/>
      <c r="W195" s="91" t="str">
        <f aca="false">IF(OR(U195=0,N195=""), "", O195*ROUND(U195,0))</f>
        <v/>
      </c>
      <c r="X195" s="101" t="str">
        <f aca="false">IF(AND(N195="", U195&lt;&gt;""),"?",IF(AND(W195&lt;&gt;0,W195&lt;&gt;""), "р.", ""))</f>
        <v/>
      </c>
      <c r="Y195" s="93" t="str">
        <f aca="false">IF(AND(S195&gt;0,U195&gt;0), S195*ROUND(U195,0) / 1000, "")</f>
        <v/>
      </c>
      <c r="Z195" s="101" t="str">
        <f aca="false">IF(AND(Y195&lt;&gt;0,Y195&lt;&gt;""), "кг", "")</f>
        <v/>
      </c>
      <c r="AA195" s="10"/>
    </row>
    <row r="196" customFormat="false" ht="14.45" hidden="false" customHeight="true" outlineLevel="0" collapsed="false">
      <c r="B196" s="73"/>
      <c r="C196" s="74" t="str">
        <f aca="false">HYPERLINK("http://www.emi-penza.ru/p/235/", "772.3702-02")</f>
        <v>772.3702-02</v>
      </c>
      <c r="D196" s="75" t="s">
        <v>256</v>
      </c>
      <c r="E196" s="75"/>
      <c r="F196" s="75"/>
      <c r="G196" s="75" t="s">
        <v>219</v>
      </c>
      <c r="H196" s="75"/>
      <c r="I196" s="76" t="s">
        <v>220</v>
      </c>
      <c r="J196" s="76"/>
      <c r="K196" s="75" t="s">
        <v>257</v>
      </c>
      <c r="L196" s="75"/>
      <c r="M196" s="75"/>
      <c r="N196" s="77" t="n">
        <v>109</v>
      </c>
      <c r="O196" s="77" t="n">
        <f aca="false">ROUND(N196*1.2, 2)</f>
        <v>130.8</v>
      </c>
      <c r="R196" s="10"/>
      <c r="S196" s="78" t="n">
        <v>28</v>
      </c>
      <c r="T196" s="78"/>
      <c r="U196" s="79" t="n">
        <v>0</v>
      </c>
      <c r="V196" s="78"/>
      <c r="W196" s="80" t="str">
        <f aca="false">IF(OR(U196=0,N196=""), "", O196*ROUND(U196,0))</f>
        <v/>
      </c>
      <c r="X196" s="100" t="str">
        <f aca="false">IF(AND(N196="", U196&lt;&gt;""),"?",IF(AND(W196&lt;&gt;0,W196&lt;&gt;""), "р.", ""))</f>
        <v/>
      </c>
      <c r="Y196" s="82" t="str">
        <f aca="false">IF(AND(S196&gt;0,U196&gt;0), S196*ROUND(U196,0) / 1000, "")</f>
        <v/>
      </c>
      <c r="Z196" s="100" t="str">
        <f aca="false">IF(AND(Y196&lt;&gt;0,Y196&lt;&gt;""), "кг", "")</f>
        <v/>
      </c>
      <c r="AA196" s="10"/>
    </row>
    <row r="197" customFormat="false" ht="14.45" hidden="false" customHeight="true" outlineLevel="0" collapsed="false">
      <c r="B197" s="84"/>
      <c r="C197" s="85"/>
      <c r="D197" s="86"/>
      <c r="E197" s="86"/>
      <c r="F197" s="86"/>
      <c r="G197" s="86"/>
      <c r="H197" s="86"/>
      <c r="I197" s="87"/>
      <c r="J197" s="87"/>
      <c r="K197" s="86" t="s">
        <v>258</v>
      </c>
      <c r="L197" s="86"/>
      <c r="M197" s="171"/>
      <c r="N197" s="88"/>
      <c r="O197" s="88"/>
      <c r="R197" s="10"/>
      <c r="S197" s="89"/>
      <c r="T197" s="89"/>
      <c r="U197" s="90"/>
      <c r="V197" s="89"/>
      <c r="W197" s="91"/>
      <c r="X197" s="101"/>
      <c r="Y197" s="93"/>
      <c r="Z197" s="101"/>
      <c r="AA197" s="10"/>
    </row>
    <row r="198" customFormat="false" ht="14.45" hidden="false" customHeight="true" outlineLevel="0" collapsed="false">
      <c r="B198" s="73"/>
      <c r="C198" s="74" t="str">
        <f aca="false">HYPERLINK("http://www.emi-penza.ru/p/203/", "773.3702")</f>
        <v>773.3702</v>
      </c>
      <c r="D198" s="75" t="s">
        <v>259</v>
      </c>
      <c r="E198" s="75"/>
      <c r="F198" s="75"/>
      <c r="G198" s="75" t="s">
        <v>219</v>
      </c>
      <c r="H198" s="75"/>
      <c r="I198" s="76" t="s">
        <v>220</v>
      </c>
      <c r="J198" s="76"/>
      <c r="K198" s="75" t="s">
        <v>37</v>
      </c>
      <c r="L198" s="75"/>
      <c r="M198" s="75"/>
      <c r="N198" s="77" t="n">
        <v>90.45</v>
      </c>
      <c r="O198" s="77" t="n">
        <f aca="false">ROUND(N198*1.2, 2)</f>
        <v>108.54</v>
      </c>
      <c r="R198" s="10"/>
      <c r="S198" s="78" t="n">
        <v>28</v>
      </c>
      <c r="T198" s="78"/>
      <c r="U198" s="79" t="n">
        <v>0</v>
      </c>
      <c r="V198" s="78"/>
      <c r="W198" s="80" t="str">
        <f aca="false">IF(OR(U198=0,N198=""), "", O198*ROUND(U198,0))</f>
        <v/>
      </c>
      <c r="X198" s="100" t="str">
        <f aca="false">IF(AND(N198="", U198&lt;&gt;""),"?",IF(AND(W198&lt;&gt;0,W198&lt;&gt;""), "р.", ""))</f>
        <v/>
      </c>
      <c r="Y198" s="82" t="str">
        <f aca="false">IF(AND(S198&gt;0,U198&gt;0), S198*ROUND(U198,0) / 1000, "")</f>
        <v/>
      </c>
      <c r="Z198" s="100" t="str">
        <f aca="false">IF(AND(Y198&lt;&gt;0,Y198&lt;&gt;""), "кг", "")</f>
        <v/>
      </c>
      <c r="AA198" s="10"/>
    </row>
    <row r="199" customFormat="false" ht="14.45" hidden="false" customHeight="true" outlineLevel="0" collapsed="false">
      <c r="B199" s="84"/>
      <c r="C199" s="85"/>
      <c r="D199" s="86"/>
      <c r="E199" s="86"/>
      <c r="F199" s="86"/>
      <c r="G199" s="86"/>
      <c r="H199" s="86"/>
      <c r="I199" s="87"/>
      <c r="J199" s="87"/>
      <c r="K199" s="86"/>
      <c r="L199" s="86"/>
      <c r="M199" s="171" t="s">
        <v>237</v>
      </c>
      <c r="N199" s="88" t="n">
        <v>97.95</v>
      </c>
      <c r="O199" s="88" t="n">
        <f aca="false">ROUND(N199*1.2, 2)</f>
        <v>117.54</v>
      </c>
      <c r="R199" s="10"/>
      <c r="S199" s="89" t="n">
        <v>32</v>
      </c>
      <c r="T199" s="89"/>
      <c r="U199" s="90" t="n">
        <v>0</v>
      </c>
      <c r="V199" s="89"/>
      <c r="W199" s="91" t="str">
        <f aca="false">IF(OR(U199=0,N199=""), "", O199*ROUND(U199,0))</f>
        <v/>
      </c>
      <c r="X199" s="101" t="str">
        <f aca="false">IF(AND(N199="", U199&lt;&gt;""),"?",IF(AND(W199&lt;&gt;0,W199&lt;&gt;""), "р.", ""))</f>
        <v/>
      </c>
      <c r="Y199" s="93" t="str">
        <f aca="false">IF(AND(S199&gt;0,U199&gt;0), S199*ROUND(U199,0) / 1000, "")</f>
        <v/>
      </c>
      <c r="Z199" s="101" t="str">
        <f aca="false">IF(AND(Y199&lt;&gt;0,Y199&lt;&gt;""), "кг", "")</f>
        <v/>
      </c>
      <c r="AA199" s="10"/>
    </row>
    <row r="200" customFormat="false" ht="14.45" hidden="false" customHeight="true" outlineLevel="0" collapsed="false">
      <c r="B200" s="73"/>
      <c r="C200" s="74" t="str">
        <f aca="false">HYPERLINK("http://www.emi-penza.ru/p/216/", "773.3702-01")</f>
        <v>773.3702-01</v>
      </c>
      <c r="D200" s="75" t="s">
        <v>260</v>
      </c>
      <c r="E200" s="75"/>
      <c r="F200" s="75"/>
      <c r="G200" s="75" t="s">
        <v>219</v>
      </c>
      <c r="H200" s="75"/>
      <c r="I200" s="76" t="s">
        <v>220</v>
      </c>
      <c r="J200" s="76"/>
      <c r="K200" s="75" t="s">
        <v>261</v>
      </c>
      <c r="L200" s="75"/>
      <c r="M200" s="75"/>
      <c r="N200" s="77" t="n">
        <v>90.45</v>
      </c>
      <c r="O200" s="77" t="n">
        <f aca="false">ROUND(N200*1.2, 2)</f>
        <v>108.54</v>
      </c>
      <c r="R200" s="10"/>
      <c r="S200" s="78" t="n">
        <v>25</v>
      </c>
      <c r="T200" s="78"/>
      <c r="U200" s="79" t="n">
        <v>0</v>
      </c>
      <c r="V200" s="78"/>
      <c r="W200" s="80" t="str">
        <f aca="false">IF(OR(U200=0,N200=""), "", O200*ROUND(U200,0))</f>
        <v/>
      </c>
      <c r="X200" s="100" t="str">
        <f aca="false">IF(AND(N200="", U200&lt;&gt;""),"?",IF(AND(W200&lt;&gt;0,W200&lt;&gt;""), "р.", ""))</f>
        <v/>
      </c>
      <c r="Y200" s="82" t="str">
        <f aca="false">IF(AND(S200&gt;0,U200&gt;0), S200*ROUND(U200,0) / 1000, "")</f>
        <v/>
      </c>
      <c r="Z200" s="100" t="str">
        <f aca="false">IF(AND(Y200&lt;&gt;0,Y200&lt;&gt;""), "кг", "")</f>
        <v/>
      </c>
      <c r="AA200" s="10"/>
    </row>
    <row r="201" customFormat="false" ht="14.45" hidden="false" customHeight="true" outlineLevel="0" collapsed="false">
      <c r="B201" s="84"/>
      <c r="C201" s="85"/>
      <c r="D201" s="86" t="s">
        <v>262</v>
      </c>
      <c r="E201" s="86"/>
      <c r="F201" s="86"/>
      <c r="G201" s="86"/>
      <c r="H201" s="86"/>
      <c r="I201" s="87"/>
      <c r="J201" s="87"/>
      <c r="K201" s="86"/>
      <c r="L201" s="86"/>
      <c r="M201" s="171" t="s">
        <v>263</v>
      </c>
      <c r="N201" s="88" t="n">
        <v>97.95</v>
      </c>
      <c r="O201" s="88" t="n">
        <f aca="false">ROUND(N201*1.2, 2)</f>
        <v>117.54</v>
      </c>
      <c r="R201" s="10"/>
      <c r="S201" s="89" t="n">
        <v>29</v>
      </c>
      <c r="T201" s="89"/>
      <c r="U201" s="90" t="n">
        <v>0</v>
      </c>
      <c r="V201" s="89"/>
      <c r="W201" s="91" t="str">
        <f aca="false">IF(OR(U201=0,N201=""), "", O201*ROUND(U201,0))</f>
        <v/>
      </c>
      <c r="X201" s="101" t="str">
        <f aca="false">IF(AND(N201="", U201&lt;&gt;""),"?",IF(AND(W201&lt;&gt;0,W201&lt;&gt;""), "р.", ""))</f>
        <v/>
      </c>
      <c r="Y201" s="93" t="str">
        <f aca="false">IF(AND(S201&gt;0,U201&gt;0), S201*ROUND(U201,0) / 1000, "")</f>
        <v/>
      </c>
      <c r="Z201" s="101" t="str">
        <f aca="false">IF(AND(Y201&lt;&gt;0,Y201&lt;&gt;""), "кг", "")</f>
        <v/>
      </c>
      <c r="AA201" s="10"/>
    </row>
    <row r="202" customFormat="false" ht="14.45" hidden="false" customHeight="true" outlineLevel="0" collapsed="false">
      <c r="B202" s="84"/>
      <c r="C202" s="74" t="str">
        <f aca="false">HYPERLINK("http://www.emi-penza.ru/p/214/", "774.3702")</f>
        <v>774.3702</v>
      </c>
      <c r="D202" s="75" t="s">
        <v>264</v>
      </c>
      <c r="E202" s="75"/>
      <c r="F202" s="75"/>
      <c r="G202" s="75" t="s">
        <v>219</v>
      </c>
      <c r="H202" s="75"/>
      <c r="I202" s="76" t="s">
        <v>220</v>
      </c>
      <c r="J202" s="76"/>
      <c r="K202" s="75" t="s">
        <v>255</v>
      </c>
      <c r="L202" s="75"/>
      <c r="M202" s="75"/>
      <c r="N202" s="77" t="n">
        <v>117.5</v>
      </c>
      <c r="O202" s="77" t="n">
        <f aca="false">ROUND(N202*1.2, 2)</f>
        <v>141</v>
      </c>
      <c r="R202" s="10"/>
      <c r="S202" s="78" t="n">
        <v>63</v>
      </c>
      <c r="T202" s="78"/>
      <c r="U202" s="79" t="n">
        <v>0</v>
      </c>
      <c r="V202" s="78"/>
      <c r="W202" s="80" t="str">
        <f aca="false">IF(OR(U202=0,N202=""), "", O202*ROUND(U202,0))</f>
        <v/>
      </c>
      <c r="X202" s="100" t="str">
        <f aca="false">IF(AND(N202="", U202&lt;&gt;""),"?",IF(AND(W202&lt;&gt;0,W202&lt;&gt;""), "р.", ""))</f>
        <v/>
      </c>
      <c r="Y202" s="82" t="str">
        <f aca="false">IF(AND(S202&gt;0,U202&gt;0), S202*ROUND(U202,0) / 1000, "")</f>
        <v/>
      </c>
      <c r="Z202" s="100" t="str">
        <f aca="false">IF(AND(Y202&lt;&gt;0,Y202&lt;&gt;""), "кг", "")</f>
        <v/>
      </c>
      <c r="AA202" s="10"/>
    </row>
    <row r="203" customFormat="false" ht="14.45" hidden="false" customHeight="true" outlineLevel="0" collapsed="false">
      <c r="B203" s="84"/>
      <c r="C203" s="85"/>
      <c r="D203" s="86"/>
      <c r="E203" s="86"/>
      <c r="F203" s="86"/>
      <c r="G203" s="86" t="s">
        <v>265</v>
      </c>
      <c r="H203" s="86"/>
      <c r="I203" s="87"/>
      <c r="J203" s="87"/>
      <c r="K203" s="86"/>
      <c r="L203" s="86"/>
      <c r="M203" s="86"/>
      <c r="N203" s="88"/>
      <c r="O203" s="88"/>
      <c r="R203" s="10"/>
      <c r="S203" s="89"/>
      <c r="T203" s="89"/>
      <c r="U203" s="90"/>
      <c r="V203" s="89"/>
      <c r="W203" s="91" t="str">
        <f aca="false">IF(OR(U203=0,N203=""), "", O203*ROUND(U203,0))</f>
        <v/>
      </c>
      <c r="X203" s="101" t="str">
        <f aca="false">IF(AND(N203="", U203&lt;&gt;""),"?",IF(AND(W203&lt;&gt;0,W203&lt;&gt;""), "р.", ""))</f>
        <v/>
      </c>
      <c r="Y203" s="93" t="str">
        <f aca="false">IF(AND(S203&gt;0,U203&gt;0), S203*ROUND(U203,0) / 1000, "")</f>
        <v/>
      </c>
      <c r="Z203" s="101" t="str">
        <f aca="false">IF(AND(Y203&lt;&gt;0,Y203&lt;&gt;""), "кг", "")</f>
        <v/>
      </c>
      <c r="AA203" s="10"/>
    </row>
    <row r="204" customFormat="false" ht="14.45" hidden="false" customHeight="true" outlineLevel="0" collapsed="false">
      <c r="B204" s="84"/>
      <c r="C204" s="74" t="str">
        <f aca="false">HYPERLINK("http://www.emi-penza.ru/p/221/", "774.3702-01")</f>
        <v>774.3702-01</v>
      </c>
      <c r="D204" s="75" t="s">
        <v>264</v>
      </c>
      <c r="E204" s="75"/>
      <c r="F204" s="75"/>
      <c r="G204" s="75" t="s">
        <v>219</v>
      </c>
      <c r="H204" s="75"/>
      <c r="I204" s="76" t="s">
        <v>220</v>
      </c>
      <c r="J204" s="76"/>
      <c r="K204" s="75" t="s">
        <v>255</v>
      </c>
      <c r="L204" s="75"/>
      <c r="M204" s="75"/>
      <c r="N204" s="77" t="n">
        <v>127</v>
      </c>
      <c r="O204" s="77" t="n">
        <f aca="false">ROUND(N204*1.2, 2)</f>
        <v>152.4</v>
      </c>
      <c r="R204" s="10"/>
      <c r="S204" s="78" t="n">
        <v>63</v>
      </c>
      <c r="T204" s="78"/>
      <c r="U204" s="79" t="n">
        <v>0</v>
      </c>
      <c r="V204" s="78"/>
      <c r="W204" s="80" t="str">
        <f aca="false">IF(OR(U204=0,N204=""), "", O204*ROUND(U204,0))</f>
        <v/>
      </c>
      <c r="X204" s="100" t="str">
        <f aca="false">IF(AND(N204="", U204&lt;&gt;""),"?",IF(AND(W204&lt;&gt;0,W204&lt;&gt;""), "р.", ""))</f>
        <v/>
      </c>
      <c r="Y204" s="82" t="str">
        <f aca="false">IF(AND(S204&gt;0,U204&gt;0), S204*ROUND(U204,0) / 1000, "")</f>
        <v/>
      </c>
      <c r="Z204" s="100" t="str">
        <f aca="false">IF(AND(Y204&lt;&gt;0,Y204&lt;&gt;""), "кг", "")</f>
        <v/>
      </c>
      <c r="AA204" s="10"/>
    </row>
    <row r="205" customFormat="false" ht="14.45" hidden="false" customHeight="true" outlineLevel="0" collapsed="false">
      <c r="B205" s="84"/>
      <c r="C205" s="85"/>
      <c r="D205" s="86"/>
      <c r="E205" s="86"/>
      <c r="F205" s="86"/>
      <c r="G205" s="86" t="s">
        <v>266</v>
      </c>
      <c r="H205" s="86"/>
      <c r="I205" s="87"/>
      <c r="J205" s="87"/>
      <c r="K205" s="86"/>
      <c r="L205" s="86"/>
      <c r="M205" s="171"/>
      <c r="N205" s="88"/>
      <c r="O205" s="88"/>
      <c r="R205" s="10"/>
      <c r="S205" s="89"/>
      <c r="T205" s="89"/>
      <c r="U205" s="90"/>
      <c r="V205" s="89"/>
      <c r="W205" s="91" t="str">
        <f aca="false">IF(OR(U205=0,N205=""), "", O205*ROUND(U205,0))</f>
        <v/>
      </c>
      <c r="X205" s="101" t="str">
        <f aca="false">IF(AND(N205="", U205&lt;&gt;""),"?",IF(AND(W205&lt;&gt;0,W205&lt;&gt;""), "р.", ""))</f>
        <v/>
      </c>
      <c r="Y205" s="93" t="str">
        <f aca="false">IF(AND(S205&gt;0,U205&gt;0), S205*ROUND(U205,0) / 1000, "")</f>
        <v/>
      </c>
      <c r="Z205" s="101" t="str">
        <f aca="false">IF(AND(Y205&lt;&gt;0,Y205&lt;&gt;""), "кг", "")</f>
        <v/>
      </c>
      <c r="AA205" s="10"/>
    </row>
    <row r="206" customFormat="false" ht="18.15" hidden="false" customHeight="true" outlineLevel="0" collapsed="false">
      <c r="B206" s="61"/>
      <c r="C206" s="62" t="str">
        <f aca="false">HYPERLINK("http://www.emi-penza.ru/p/204/", "775.3702")</f>
        <v>775.3702</v>
      </c>
      <c r="D206" s="63" t="s">
        <v>267</v>
      </c>
      <c r="E206" s="63"/>
      <c r="F206" s="63"/>
      <c r="G206" s="63" t="s">
        <v>219</v>
      </c>
      <c r="H206" s="63"/>
      <c r="I206" s="64" t="s">
        <v>220</v>
      </c>
      <c r="J206" s="64"/>
      <c r="K206" s="63" t="s">
        <v>268</v>
      </c>
      <c r="L206" s="63"/>
      <c r="M206" s="63"/>
      <c r="N206" s="65" t="n">
        <v>90</v>
      </c>
      <c r="O206" s="65" t="n">
        <f aca="false">ROUND(N206*1.2, 2)</f>
        <v>108</v>
      </c>
      <c r="R206" s="10"/>
      <c r="S206" s="66" t="n">
        <v>28</v>
      </c>
      <c r="T206" s="66"/>
      <c r="U206" s="67" t="n">
        <v>0</v>
      </c>
      <c r="V206" s="66"/>
      <c r="W206" s="72" t="str">
        <f aca="false">IF(OR(U206=0,N206=""), "", O206*ROUND(U206,0))</f>
        <v/>
      </c>
      <c r="X206" s="99" t="str">
        <f aca="false">IF(AND(N206="", U206&lt;&gt;""),"?",IF(AND(W206&lt;&gt;0,W206&lt;&gt;""), "р.", ""))</f>
        <v/>
      </c>
      <c r="Y206" s="70" t="str">
        <f aca="false">IF(AND(S206&gt;0,U206&gt;0), S206*ROUND(U206,0) / 1000, "")</f>
        <v/>
      </c>
      <c r="Z206" s="99" t="str">
        <f aca="false">IF(AND(Y206&lt;&gt;0,Y206&lt;&gt;""), "кг", "")</f>
        <v/>
      </c>
      <c r="AA206" s="10"/>
    </row>
    <row r="207" customFormat="false" ht="18.15" hidden="false" customHeight="true" outlineLevel="0" collapsed="false">
      <c r="B207" s="61"/>
      <c r="C207" s="62" t="str">
        <f aca="false">HYPERLINK("http://www.emi-penza.ru/p/213/", "776.3702")</f>
        <v>776.3702</v>
      </c>
      <c r="D207" s="63" t="s">
        <v>269</v>
      </c>
      <c r="E207" s="63"/>
      <c r="F207" s="63"/>
      <c r="G207" s="63" t="s">
        <v>219</v>
      </c>
      <c r="H207" s="63"/>
      <c r="I207" s="64" t="s">
        <v>231</v>
      </c>
      <c r="J207" s="64"/>
      <c r="K207" s="63" t="s">
        <v>116</v>
      </c>
      <c r="L207" s="63"/>
      <c r="M207" s="63"/>
      <c r="N207" s="65" t="n">
        <v>113</v>
      </c>
      <c r="O207" s="65" t="n">
        <f aca="false">ROUND(N207*1.2, 2)</f>
        <v>135.6</v>
      </c>
      <c r="R207" s="10"/>
      <c r="S207" s="66" t="n">
        <v>37</v>
      </c>
      <c r="T207" s="66"/>
      <c r="U207" s="67" t="n">
        <v>0</v>
      </c>
      <c r="V207" s="66"/>
      <c r="W207" s="72" t="str">
        <f aca="false">IF(OR(U207=0,N207=""), "", O207*ROUND(U207,0))</f>
        <v/>
      </c>
      <c r="X207" s="99" t="str">
        <f aca="false">IF(AND(N207="", U207&lt;&gt;""),"?",IF(AND(W207&lt;&gt;0,W207&lt;&gt;""), "р.", ""))</f>
        <v/>
      </c>
      <c r="Y207" s="70" t="str">
        <f aca="false">IF(AND(S207&gt;0,U207&gt;0), S207*ROUND(U207,0) / 1000, "")</f>
        <v/>
      </c>
      <c r="Z207" s="99" t="str">
        <f aca="false">IF(AND(Y207&lt;&gt;0,Y207&lt;&gt;""), "кг", "")</f>
        <v/>
      </c>
      <c r="AA207" s="10"/>
    </row>
    <row r="208" customFormat="false" ht="18.15" hidden="false" customHeight="true" outlineLevel="0" collapsed="false">
      <c r="B208" s="61"/>
      <c r="C208" s="62" t="str">
        <f aca="false">HYPERLINK("http://www.emi-penza.ru/p/212/", "777.3702")</f>
        <v>777.3702</v>
      </c>
      <c r="D208" s="63" t="s">
        <v>270</v>
      </c>
      <c r="E208" s="63"/>
      <c r="F208" s="63"/>
      <c r="G208" s="63" t="s">
        <v>219</v>
      </c>
      <c r="H208" s="63"/>
      <c r="I208" s="64" t="s">
        <v>220</v>
      </c>
      <c r="J208" s="64"/>
      <c r="K208" s="63" t="s">
        <v>271</v>
      </c>
      <c r="L208" s="63"/>
      <c r="M208" s="63"/>
      <c r="N208" s="65" t="n">
        <v>98</v>
      </c>
      <c r="O208" s="65" t="n">
        <f aca="false">ROUND(N208*1.2, 2)</f>
        <v>117.6</v>
      </c>
      <c r="R208" s="10"/>
      <c r="S208" s="66" t="n">
        <v>37</v>
      </c>
      <c r="T208" s="66"/>
      <c r="U208" s="67" t="n">
        <v>0</v>
      </c>
      <c r="V208" s="66"/>
      <c r="W208" s="72" t="str">
        <f aca="false">IF(OR(U208=0,N208=""), "", O208*ROUND(U208,0))</f>
        <v/>
      </c>
      <c r="X208" s="99" t="str">
        <f aca="false">IF(AND(N208="", U208&lt;&gt;""),"?",IF(AND(W208&lt;&gt;0,W208&lt;&gt;""), "р.", ""))</f>
        <v/>
      </c>
      <c r="Y208" s="70" t="str">
        <f aca="false">IF(AND(S208&gt;0,U208&gt;0), S208*ROUND(U208,0) / 1000, "")</f>
        <v/>
      </c>
      <c r="Z208" s="99" t="str">
        <f aca="false">IF(AND(Y208&lt;&gt;0,Y208&lt;&gt;""), "кг", "")</f>
        <v/>
      </c>
      <c r="AA208" s="10"/>
    </row>
    <row r="209" customFormat="false" ht="14.45" hidden="false" customHeight="true" outlineLevel="0" collapsed="false">
      <c r="B209" s="73"/>
      <c r="C209" s="74" t="str">
        <f aca="false">HYPERLINK("http://www.emi-penza.ru/p/209/", "778.3702")</f>
        <v>778.3702</v>
      </c>
      <c r="D209" s="75" t="s">
        <v>272</v>
      </c>
      <c r="E209" s="75"/>
      <c r="F209" s="75"/>
      <c r="G209" s="75" t="s">
        <v>219</v>
      </c>
      <c r="H209" s="75"/>
      <c r="I209" s="76" t="s">
        <v>220</v>
      </c>
      <c r="J209" s="76"/>
      <c r="K209" s="75" t="s">
        <v>273</v>
      </c>
      <c r="L209" s="75"/>
      <c r="M209" s="75"/>
      <c r="N209" s="77"/>
      <c r="O209" s="77"/>
      <c r="R209" s="10"/>
      <c r="S209" s="78" t="n">
        <v>29</v>
      </c>
      <c r="T209" s="78"/>
      <c r="U209" s="79"/>
      <c r="V209" s="78"/>
      <c r="W209" s="80" t="str">
        <f aca="false">IF(OR(U209=0,N209=""), "", O209*ROUND(U209,0))</f>
        <v/>
      </c>
      <c r="X209" s="100" t="str">
        <f aca="false">IF(AND(N209="", U209&lt;&gt;""),"?",IF(AND(W209&lt;&gt;0,W209&lt;&gt;""), "р.", ""))</f>
        <v/>
      </c>
      <c r="Y209" s="82" t="str">
        <f aca="false">IF(AND(S209&gt;0,U209&gt;0), S209*ROUND(U209,0) / 1000, "")</f>
        <v/>
      </c>
      <c r="Z209" s="100" t="str">
        <f aca="false">IF(AND(Y209&lt;&gt;0,Y209&lt;&gt;""), "кг", "")</f>
        <v/>
      </c>
      <c r="AA209" s="10"/>
    </row>
    <row r="210" customFormat="false" ht="14.45" hidden="false" customHeight="true" outlineLevel="0" collapsed="false">
      <c r="B210" s="84"/>
      <c r="C210" s="85"/>
      <c r="D210" s="86"/>
      <c r="E210" s="86"/>
      <c r="F210" s="86"/>
      <c r="G210" s="86"/>
      <c r="H210" s="86"/>
      <c r="I210" s="87"/>
      <c r="J210" s="87"/>
      <c r="K210" s="86"/>
      <c r="L210" s="86"/>
      <c r="M210" s="171" t="s">
        <v>249</v>
      </c>
      <c r="N210" s="88" t="n">
        <v>96.95</v>
      </c>
      <c r="O210" s="88" t="n">
        <f aca="false">ROUND(N210*1.2, 2)</f>
        <v>116.34</v>
      </c>
      <c r="R210" s="10"/>
      <c r="S210" s="89" t="n">
        <v>36</v>
      </c>
      <c r="T210" s="89"/>
      <c r="U210" s="90" t="n">
        <v>0</v>
      </c>
      <c r="V210" s="89"/>
      <c r="W210" s="91" t="str">
        <f aca="false">IF(OR(U210=0,N210=""), "", O210*ROUND(U210,0))</f>
        <v/>
      </c>
      <c r="X210" s="101" t="str">
        <f aca="false">IF(AND(N210="", U210&lt;&gt;""),"?",IF(AND(W210&lt;&gt;0,W210&lt;&gt;""), "р.", ""))</f>
        <v/>
      </c>
      <c r="Y210" s="93" t="str">
        <f aca="false">IF(AND(S210&gt;0,U210&gt;0), S210*ROUND(U210,0) / 1000, "")</f>
        <v/>
      </c>
      <c r="Z210" s="101" t="str">
        <f aca="false">IF(AND(Y210&lt;&gt;0,Y210&lt;&gt;""), "кг", "")</f>
        <v/>
      </c>
      <c r="AA210" s="10"/>
    </row>
    <row r="211" customFormat="false" ht="14.45" hidden="false" customHeight="true" outlineLevel="0" collapsed="false">
      <c r="B211" s="73"/>
      <c r="C211" s="74" t="str">
        <f aca="false">HYPERLINK("http://www.emi-penza.ru/p/230/", "778.3702-01")</f>
        <v>778.3702-01</v>
      </c>
      <c r="D211" s="75" t="s">
        <v>274</v>
      </c>
      <c r="E211" s="75"/>
      <c r="F211" s="75"/>
      <c r="G211" s="75" t="s">
        <v>219</v>
      </c>
      <c r="H211" s="75"/>
      <c r="I211" s="76" t="s">
        <v>275</v>
      </c>
      <c r="J211" s="76"/>
      <c r="K211" s="75" t="s">
        <v>276</v>
      </c>
      <c r="L211" s="75"/>
      <c r="M211" s="75"/>
      <c r="N211" s="77"/>
      <c r="O211" s="77"/>
      <c r="R211" s="10"/>
      <c r="S211" s="78" t="n">
        <v>30</v>
      </c>
      <c r="T211" s="78"/>
      <c r="U211" s="79"/>
      <c r="V211" s="78"/>
      <c r="W211" s="80" t="str">
        <f aca="false">IF(OR(U211=0,N211=""), "", O211*ROUND(U211,0))</f>
        <v/>
      </c>
      <c r="X211" s="100" t="str">
        <f aca="false">IF(AND(N211="", U211&lt;&gt;""),"?",IF(AND(W211&lt;&gt;0,W211&lt;&gt;""), "р.", ""))</f>
        <v/>
      </c>
      <c r="Y211" s="82" t="str">
        <f aca="false">IF(AND(S211&gt;0,U211&gt;0), S211*ROUND(U211,0) / 1000, "")</f>
        <v/>
      </c>
      <c r="Z211" s="100" t="str">
        <f aca="false">IF(AND(Y211&lt;&gt;0,Y211&lt;&gt;""), "кг", "")</f>
        <v/>
      </c>
      <c r="AA211" s="10"/>
    </row>
    <row r="212" customFormat="false" ht="14.45" hidden="false" customHeight="true" outlineLevel="0" collapsed="false">
      <c r="B212" s="84"/>
      <c r="C212" s="85"/>
      <c r="D212" s="86" t="s">
        <v>277</v>
      </c>
      <c r="E212" s="86"/>
      <c r="F212" s="86"/>
      <c r="G212" s="86"/>
      <c r="H212" s="86"/>
      <c r="I212" s="87"/>
      <c r="J212" s="87"/>
      <c r="K212" s="86" t="s">
        <v>278</v>
      </c>
      <c r="L212" s="86"/>
      <c r="M212" s="171" t="s">
        <v>249</v>
      </c>
      <c r="N212" s="88" t="n">
        <v>104</v>
      </c>
      <c r="O212" s="88" t="n">
        <f aca="false">ROUND(N212*1.2, 2)</f>
        <v>124.8</v>
      </c>
      <c r="R212" s="10"/>
      <c r="S212" s="89" t="n">
        <v>37</v>
      </c>
      <c r="T212" s="89"/>
      <c r="U212" s="90" t="n">
        <v>0</v>
      </c>
      <c r="V212" s="89"/>
      <c r="W212" s="91" t="str">
        <f aca="false">IF(OR(U212=0,N212=""), "", O212*ROUND(U212,0))</f>
        <v/>
      </c>
      <c r="X212" s="101" t="str">
        <f aca="false">IF(AND(N212="", U212&lt;&gt;""),"?",IF(AND(W212&lt;&gt;0,W212&lt;&gt;""), "р.", ""))</f>
        <v/>
      </c>
      <c r="Y212" s="93" t="str">
        <f aca="false">IF(AND(S212&gt;0,U212&gt;0), S212*ROUND(U212,0) / 1000, "")</f>
        <v/>
      </c>
      <c r="Z212" s="101" t="str">
        <f aca="false">IF(AND(Y212&lt;&gt;0,Y212&lt;&gt;""), "кг", "")</f>
        <v/>
      </c>
      <c r="AA212" s="10"/>
    </row>
    <row r="213" customFormat="false" ht="18.15" hidden="false" customHeight="true" outlineLevel="0" collapsed="false">
      <c r="B213" s="61"/>
      <c r="C213" s="62" t="str">
        <f aca="false">HYPERLINK("http://www.emi-penza.ru/p/233/", "778.3702-02")</f>
        <v>778.3702-02</v>
      </c>
      <c r="D213" s="63" t="s">
        <v>279</v>
      </c>
      <c r="E213" s="63"/>
      <c r="F213" s="63"/>
      <c r="G213" s="63" t="s">
        <v>219</v>
      </c>
      <c r="H213" s="63"/>
      <c r="I213" s="64" t="s">
        <v>220</v>
      </c>
      <c r="J213" s="64"/>
      <c r="K213" s="63" t="s">
        <v>280</v>
      </c>
      <c r="L213" s="63"/>
      <c r="M213" s="98"/>
      <c r="N213" s="65" t="n">
        <v>350</v>
      </c>
      <c r="O213" s="65" t="n">
        <f aca="false">ROUND(N213*1.2, 2)</f>
        <v>420</v>
      </c>
      <c r="R213" s="10"/>
      <c r="S213" s="66" t="n">
        <v>60</v>
      </c>
      <c r="T213" s="66"/>
      <c r="U213" s="67" t="n">
        <v>0</v>
      </c>
      <c r="V213" s="66"/>
      <c r="W213" s="72" t="str">
        <f aca="false">IF(OR(U213=0,N213=""), "", O213*ROUND(U213,0))</f>
        <v/>
      </c>
      <c r="X213" s="99" t="str">
        <f aca="false">IF(AND(N213="", U213&lt;&gt;""),"?",IF(AND(W213&lt;&gt;0,W213&lt;&gt;""), "р.", ""))</f>
        <v/>
      </c>
      <c r="Y213" s="70" t="str">
        <f aca="false">IF(AND(S213&gt;0,U213&gt;0), S213*ROUND(U213,0) / 1000, "")</f>
        <v/>
      </c>
      <c r="Z213" s="99" t="str">
        <f aca="false">IF(AND(Y213&lt;&gt;0,Y213&lt;&gt;""), "кг", "")</f>
        <v/>
      </c>
      <c r="AA213" s="10"/>
    </row>
    <row r="214" customFormat="false" ht="14.45" hidden="false" customHeight="true" outlineLevel="0" collapsed="false">
      <c r="B214" s="73"/>
      <c r="C214" s="74" t="str">
        <f aca="false">HYPERLINK("http://www.emi-penza.ru/p/778.3702-03/", "778.3702-03")</f>
        <v>778.3702-03</v>
      </c>
      <c r="D214" s="172" t="s">
        <v>281</v>
      </c>
      <c r="E214" s="75"/>
      <c r="F214" s="75"/>
      <c r="G214" s="75" t="s">
        <v>219</v>
      </c>
      <c r="H214" s="75"/>
      <c r="I214" s="76" t="s">
        <v>220</v>
      </c>
      <c r="J214" s="76"/>
      <c r="K214" s="75" t="s">
        <v>282</v>
      </c>
      <c r="L214" s="75"/>
      <c r="M214" s="75"/>
      <c r="N214" s="77"/>
      <c r="O214" s="77"/>
      <c r="R214" s="10"/>
      <c r="S214" s="78" t="n">
        <v>35</v>
      </c>
      <c r="T214" s="78"/>
      <c r="U214" s="79"/>
      <c r="V214" s="78"/>
      <c r="W214" s="80" t="str">
        <f aca="false">IF(OR(U214=0,N214=""), "", O214*ROUND(U214,0))</f>
        <v/>
      </c>
      <c r="X214" s="100" t="str">
        <f aca="false">IF(AND(N214="", U214&lt;&gt;""),"?",IF(AND(W214&lt;&gt;0,W214&lt;&gt;""), "р.", ""))</f>
        <v/>
      </c>
      <c r="Y214" s="82" t="str">
        <f aca="false">IF(AND(S214&gt;0,U214&gt;0), S214*ROUND(U214,0) / 1000, "")</f>
        <v/>
      </c>
      <c r="Z214" s="100" t="str">
        <f aca="false">IF(AND(Y214&lt;&gt;0,Y214&lt;&gt;""), "кг", "")</f>
        <v/>
      </c>
      <c r="AA214" s="10"/>
    </row>
    <row r="215" customFormat="false" ht="14.45" hidden="false" customHeight="true" outlineLevel="0" collapsed="false">
      <c r="B215" s="84"/>
      <c r="C215" s="85"/>
      <c r="D215" s="86"/>
      <c r="E215" s="86"/>
      <c r="F215" s="86"/>
      <c r="G215" s="86"/>
      <c r="H215" s="86"/>
      <c r="I215" s="87"/>
      <c r="J215" s="87"/>
      <c r="K215" s="86"/>
      <c r="L215" s="86"/>
      <c r="M215" s="171" t="s">
        <v>249</v>
      </c>
      <c r="N215" s="88" t="n">
        <v>159</v>
      </c>
      <c r="O215" s="88" t="n">
        <f aca="false">ROUND(N215*1.2, 2)</f>
        <v>190.8</v>
      </c>
      <c r="R215" s="10"/>
      <c r="S215" s="89" t="n">
        <v>42</v>
      </c>
      <c r="T215" s="89"/>
      <c r="U215" s="90" t="n">
        <v>0</v>
      </c>
      <c r="V215" s="89"/>
      <c r="W215" s="91" t="str">
        <f aca="false">IF(OR(U215=0,N215=""), "", O215*ROUND(U215,0))</f>
        <v/>
      </c>
      <c r="X215" s="101" t="str">
        <f aca="false">IF(AND(N215="", U215&lt;&gt;""),"?",IF(AND(W215&lt;&gt;0,W215&lt;&gt;""), "р.", ""))</f>
        <v/>
      </c>
      <c r="Y215" s="93" t="str">
        <f aca="false">IF(AND(S215&gt;0,U215&gt;0), S215*ROUND(U215,0) / 1000, "")</f>
        <v/>
      </c>
      <c r="Z215" s="101" t="str">
        <f aca="false">IF(AND(Y215&lt;&gt;0,Y215&lt;&gt;""), "кг", "")</f>
        <v/>
      </c>
      <c r="AA215" s="10"/>
    </row>
    <row r="216" customFormat="false" ht="18.15" hidden="false" customHeight="true" outlineLevel="0" collapsed="false">
      <c r="B216" s="61"/>
      <c r="C216" s="62" t="str">
        <f aca="false">HYPERLINK("http://www.emi-penza.ru/p/217/", "778.3702-06")</f>
        <v>778.3702-06</v>
      </c>
      <c r="D216" s="63" t="s">
        <v>283</v>
      </c>
      <c r="E216" s="63"/>
      <c r="F216" s="63"/>
      <c r="G216" s="63" t="s">
        <v>219</v>
      </c>
      <c r="H216" s="63"/>
      <c r="I216" s="64" t="s">
        <v>231</v>
      </c>
      <c r="J216" s="64"/>
      <c r="K216" s="63" t="s">
        <v>116</v>
      </c>
      <c r="L216" s="63"/>
      <c r="M216" s="98" t="s">
        <v>249</v>
      </c>
      <c r="N216" s="65" t="n">
        <v>108</v>
      </c>
      <c r="O216" s="65" t="n">
        <f aca="false">ROUND(N216*1.2, 2)</f>
        <v>129.6</v>
      </c>
      <c r="R216" s="10"/>
      <c r="S216" s="66" t="n">
        <v>40</v>
      </c>
      <c r="T216" s="66"/>
      <c r="U216" s="67" t="n">
        <v>0</v>
      </c>
      <c r="V216" s="66"/>
      <c r="W216" s="72" t="str">
        <f aca="false">IF(OR(U216=0,N216=""), "", O216*ROUND(U216,0))</f>
        <v/>
      </c>
      <c r="X216" s="99" t="str">
        <f aca="false">IF(AND(N216="", U216&lt;&gt;""),"?",IF(AND(W216&lt;&gt;0,W216&lt;&gt;""), "р.", ""))</f>
        <v/>
      </c>
      <c r="Y216" s="70" t="str">
        <f aca="false">IF(AND(S216&gt;0,U216&gt;0), S216*ROUND(U216,0) / 1000, "")</f>
        <v/>
      </c>
      <c r="Z216" s="99" t="str">
        <f aca="false">IF(AND(Y216&lt;&gt;0,Y216&lt;&gt;""), "кг", "")</f>
        <v/>
      </c>
      <c r="AA216" s="10"/>
    </row>
    <row r="217" customFormat="false" ht="14.45" hidden="false" customHeight="true" outlineLevel="0" collapsed="false">
      <c r="B217" s="73"/>
      <c r="C217" s="74" t="str">
        <f aca="false">HYPERLINK("http://www.emi-penza.ru/p/211/", "779.3702")</f>
        <v>779.3702</v>
      </c>
      <c r="D217" s="75" t="s">
        <v>284</v>
      </c>
      <c r="E217" s="75"/>
      <c r="F217" s="75"/>
      <c r="G217" s="75" t="s">
        <v>285</v>
      </c>
      <c r="H217" s="75"/>
      <c r="I217" s="76" t="s">
        <v>220</v>
      </c>
      <c r="J217" s="76"/>
      <c r="K217" s="75" t="s">
        <v>286</v>
      </c>
      <c r="L217" s="75"/>
      <c r="M217" s="75"/>
      <c r="N217" s="77" t="n">
        <v>221</v>
      </c>
      <c r="O217" s="77" t="n">
        <f aca="false">ROUND(N217*1.2, 2)</f>
        <v>265.2</v>
      </c>
      <c r="R217" s="10"/>
      <c r="S217" s="78" t="n">
        <v>53</v>
      </c>
      <c r="T217" s="78"/>
      <c r="U217" s="79" t="n">
        <v>0</v>
      </c>
      <c r="V217" s="78"/>
      <c r="W217" s="80" t="str">
        <f aca="false">IF(OR(U217=0,N217=""), "", O217*ROUND(U217,0))</f>
        <v/>
      </c>
      <c r="X217" s="100" t="str">
        <f aca="false">IF(AND(N217="", U217&lt;&gt;""),"?",IF(AND(W217&lt;&gt;0,W217&lt;&gt;""), "р.", ""))</f>
        <v/>
      </c>
      <c r="Y217" s="82" t="str">
        <f aca="false">IF(AND(S217&gt;0,U217&gt;0), S217*ROUND(U217,0) / 1000, "")</f>
        <v/>
      </c>
      <c r="Z217" s="100" t="str">
        <f aca="false">IF(AND(Y217&lt;&gt;0,Y217&lt;&gt;""), "кг", "")</f>
        <v/>
      </c>
      <c r="AA217" s="10"/>
    </row>
    <row r="218" customFormat="false" ht="14.45" hidden="false" customHeight="true" outlineLevel="0" collapsed="false">
      <c r="B218" s="84"/>
      <c r="C218" s="85"/>
      <c r="D218" s="86" t="s">
        <v>287</v>
      </c>
      <c r="E218" s="86"/>
      <c r="F218" s="86"/>
      <c r="G218" s="86" t="s">
        <v>288</v>
      </c>
      <c r="H218" s="86"/>
      <c r="I218" s="87"/>
      <c r="J218" s="87"/>
      <c r="K218" s="86" t="s">
        <v>289</v>
      </c>
      <c r="L218" s="86"/>
      <c r="M218" s="86"/>
      <c r="N218" s="88"/>
      <c r="O218" s="88"/>
      <c r="R218" s="10"/>
      <c r="S218" s="89"/>
      <c r="T218" s="89"/>
      <c r="U218" s="90"/>
      <c r="V218" s="89"/>
      <c r="W218" s="91" t="str">
        <f aca="false">IF(OR(U218=0,N218=""), "", O218*ROUND(U218,0))</f>
        <v/>
      </c>
      <c r="X218" s="101" t="str">
        <f aca="false">IF(AND(N218="", U218&lt;&gt;""),"?",IF(AND(W218&lt;&gt;0,W218&lt;&gt;""), "р.", ""))</f>
        <v/>
      </c>
      <c r="Y218" s="93" t="str">
        <f aca="false">IF(AND(S218&gt;0,U218&gt;0), S218*ROUND(U218,0) / 1000, "")</f>
        <v/>
      </c>
      <c r="Z218" s="101" t="str">
        <f aca="false">IF(AND(Y218&lt;&gt;0,Y218&lt;&gt;""), "кг", "")</f>
        <v/>
      </c>
      <c r="AA218" s="10"/>
    </row>
    <row r="219" customFormat="false" ht="14.45" hidden="false" customHeight="true" outlineLevel="0" collapsed="false">
      <c r="B219" s="73"/>
      <c r="C219" s="74" t="str">
        <f aca="false">HYPERLINK("http://www.emi-penza.ru/p/210/", "779.3702-01")</f>
        <v>779.3702-01</v>
      </c>
      <c r="D219" s="75" t="s">
        <v>290</v>
      </c>
      <c r="E219" s="75"/>
      <c r="F219" s="75"/>
      <c r="G219" s="75" t="s">
        <v>291</v>
      </c>
      <c r="H219" s="75"/>
      <c r="I219" s="76" t="s">
        <v>231</v>
      </c>
      <c r="J219" s="76"/>
      <c r="K219" s="75" t="s">
        <v>292</v>
      </c>
      <c r="L219" s="75"/>
      <c r="M219" s="75"/>
      <c r="N219" s="77" t="n">
        <v>226</v>
      </c>
      <c r="O219" s="77" t="n">
        <f aca="false">ROUND(N219*1.2, 2)</f>
        <v>271.2</v>
      </c>
      <c r="R219" s="10"/>
      <c r="S219" s="78" t="n">
        <v>51</v>
      </c>
      <c r="T219" s="78"/>
      <c r="U219" s="79" t="n">
        <v>0</v>
      </c>
      <c r="V219" s="78"/>
      <c r="W219" s="80" t="str">
        <f aca="false">IF(OR(U219=0,N219=""), "", O219*ROUND(U219,0))</f>
        <v/>
      </c>
      <c r="X219" s="100" t="str">
        <f aca="false">IF(AND(N219="", U219&lt;&gt;""),"?",IF(AND(W219&lt;&gt;0,W219&lt;&gt;""), "р.", ""))</f>
        <v/>
      </c>
      <c r="Y219" s="82" t="str">
        <f aca="false">IF(AND(S219&gt;0,U219&gt;0), S219*ROUND(U219,0) / 1000, "")</f>
        <v/>
      </c>
      <c r="Z219" s="100" t="str">
        <f aca="false">IF(AND(Y219&lt;&gt;0,Y219&lt;&gt;""), "кг", "")</f>
        <v/>
      </c>
      <c r="AA219" s="10"/>
    </row>
    <row r="220" customFormat="false" ht="14.45" hidden="false" customHeight="true" outlineLevel="0" collapsed="false">
      <c r="B220" s="84"/>
      <c r="C220" s="85"/>
      <c r="D220" s="86"/>
      <c r="E220" s="86"/>
      <c r="F220" s="86"/>
      <c r="G220" s="86" t="s">
        <v>288</v>
      </c>
      <c r="H220" s="86"/>
      <c r="I220" s="87"/>
      <c r="J220" s="87"/>
      <c r="K220" s="86" t="s">
        <v>293</v>
      </c>
      <c r="L220" s="86"/>
      <c r="M220" s="86"/>
      <c r="N220" s="88"/>
      <c r="O220" s="88"/>
      <c r="R220" s="10"/>
      <c r="S220" s="89"/>
      <c r="T220" s="89"/>
      <c r="U220" s="90"/>
      <c r="V220" s="89"/>
      <c r="W220" s="91" t="str">
        <f aca="false">IF(OR(U220=0,N220=""), "", O220*ROUND(U220,0))</f>
        <v/>
      </c>
      <c r="X220" s="101" t="str">
        <f aca="false">IF(AND(N220="", U220&lt;&gt;""),"?",IF(AND(W220&lt;&gt;0,W220&lt;&gt;""), "р.", ""))</f>
        <v/>
      </c>
      <c r="Y220" s="93" t="str">
        <f aca="false">IF(AND(S220&gt;0,U220&gt;0), S220*ROUND(U220,0) / 1000, "")</f>
        <v/>
      </c>
      <c r="Z220" s="101" t="str">
        <f aca="false">IF(AND(Y220&lt;&gt;0,Y220&lt;&gt;""), "кг", "")</f>
        <v/>
      </c>
      <c r="AA220" s="10"/>
    </row>
    <row r="221" customFormat="false" ht="14.45" hidden="false" customHeight="true" outlineLevel="0" collapsed="false">
      <c r="B221" s="73"/>
      <c r="C221" s="74" t="str">
        <f aca="false">HYPERLINK("http://www.emi-penza.ru/p/218/", "779.3702-02")</f>
        <v>779.3702-02</v>
      </c>
      <c r="D221" s="75" t="s">
        <v>284</v>
      </c>
      <c r="E221" s="75"/>
      <c r="F221" s="75"/>
      <c r="G221" s="75" t="s">
        <v>219</v>
      </c>
      <c r="H221" s="75"/>
      <c r="I221" s="76" t="s">
        <v>220</v>
      </c>
      <c r="J221" s="76"/>
      <c r="K221" s="75" t="s">
        <v>286</v>
      </c>
      <c r="L221" s="75"/>
      <c r="M221" s="75"/>
      <c r="N221" s="77" t="n">
        <v>147</v>
      </c>
      <c r="O221" s="77" t="n">
        <f aca="false">ROUND(N221*1.2, 2)</f>
        <v>176.4</v>
      </c>
      <c r="R221" s="10"/>
      <c r="S221" s="78" t="n">
        <v>48</v>
      </c>
      <c r="T221" s="78"/>
      <c r="U221" s="79" t="n">
        <v>0</v>
      </c>
      <c r="V221" s="78"/>
      <c r="W221" s="80" t="str">
        <f aca="false">IF(OR(U221=0,N221=""), "", O221*ROUND(U221,0))</f>
        <v/>
      </c>
      <c r="X221" s="100" t="str">
        <f aca="false">IF(AND(N221="", U221&lt;&gt;""),"?",IF(AND(W221&lt;&gt;0,W221&lt;&gt;""), "р.", ""))</f>
        <v/>
      </c>
      <c r="Y221" s="82" t="str">
        <f aca="false">IF(AND(S221&gt;0,U221&gt;0), S221*ROUND(U221,0) / 1000, "")</f>
        <v/>
      </c>
      <c r="Z221" s="100" t="str">
        <f aca="false">IF(AND(Y221&lt;&gt;0,Y221&lt;&gt;""), "кг", "")</f>
        <v/>
      </c>
      <c r="AA221" s="10"/>
    </row>
    <row r="222" customFormat="false" ht="14.45" hidden="false" customHeight="true" outlineLevel="0" collapsed="false">
      <c r="B222" s="84"/>
      <c r="C222" s="85"/>
      <c r="D222" s="86" t="s">
        <v>287</v>
      </c>
      <c r="E222" s="86"/>
      <c r="F222" s="86"/>
      <c r="G222" s="86"/>
      <c r="H222" s="86"/>
      <c r="I222" s="87"/>
      <c r="J222" s="87"/>
      <c r="K222" s="86" t="s">
        <v>289</v>
      </c>
      <c r="L222" s="86"/>
      <c r="M222" s="86"/>
      <c r="N222" s="88"/>
      <c r="O222" s="88"/>
      <c r="R222" s="10"/>
      <c r="S222" s="89"/>
      <c r="T222" s="89"/>
      <c r="U222" s="90"/>
      <c r="V222" s="89"/>
      <c r="W222" s="91" t="str">
        <f aca="false">IF(OR(U222=0,N222=""), "", O222*ROUND(U222,0))</f>
        <v/>
      </c>
      <c r="X222" s="101" t="str">
        <f aca="false">IF(AND(N222="", U222&lt;&gt;""),"?",IF(AND(W222&lt;&gt;0,W222&lt;&gt;""), "р.", ""))</f>
        <v/>
      </c>
      <c r="Y222" s="93" t="str">
        <f aca="false">IF(AND(S222&gt;0,U222&gt;0), S222*ROUND(U222,0) / 1000, "")</f>
        <v/>
      </c>
      <c r="Z222" s="101" t="str">
        <f aca="false">IF(AND(Y222&lt;&gt;0,Y222&lt;&gt;""), "кг", "")</f>
        <v/>
      </c>
      <c r="AA222" s="10"/>
    </row>
    <row r="223" customFormat="false" ht="14.45" hidden="false" customHeight="true" outlineLevel="0" collapsed="false">
      <c r="B223" s="73"/>
      <c r="C223" s="74" t="str">
        <f aca="false">HYPERLINK("http://www.emi-penza.ru/p/219/", "779.3702-03")</f>
        <v>779.3702-03</v>
      </c>
      <c r="D223" s="75" t="s">
        <v>290</v>
      </c>
      <c r="E223" s="75"/>
      <c r="F223" s="75"/>
      <c r="G223" s="75" t="s">
        <v>219</v>
      </c>
      <c r="H223" s="75"/>
      <c r="I223" s="76" t="s">
        <v>231</v>
      </c>
      <c r="J223" s="76"/>
      <c r="K223" s="75" t="s">
        <v>292</v>
      </c>
      <c r="L223" s="75"/>
      <c r="M223" s="75"/>
      <c r="N223" s="77" t="n">
        <v>199</v>
      </c>
      <c r="O223" s="77" t="n">
        <f aca="false">ROUND(N223*1.2, 2)</f>
        <v>238.8</v>
      </c>
      <c r="R223" s="10"/>
      <c r="S223" s="78" t="n">
        <v>53</v>
      </c>
      <c r="T223" s="78"/>
      <c r="U223" s="79" t="n">
        <v>0</v>
      </c>
      <c r="V223" s="78"/>
      <c r="W223" s="80" t="str">
        <f aca="false">IF(OR(U223=0,N223=""), "", O223*ROUND(U223,0))</f>
        <v/>
      </c>
      <c r="X223" s="100" t="str">
        <f aca="false">IF(AND(N223="", U223&lt;&gt;""),"?",IF(AND(W223&lt;&gt;0,W223&lt;&gt;""), "р.", ""))</f>
        <v/>
      </c>
      <c r="Y223" s="82" t="str">
        <f aca="false">IF(AND(S223&gt;0,U223&gt;0), S223*ROUND(U223,0) / 1000, "")</f>
        <v/>
      </c>
      <c r="Z223" s="100" t="str">
        <f aca="false">IF(AND(Y223&lt;&gt;0,Y223&lt;&gt;""), "кг", "")</f>
        <v/>
      </c>
      <c r="AA223" s="10"/>
    </row>
    <row r="224" customFormat="false" ht="14.45" hidden="false" customHeight="true" outlineLevel="0" collapsed="false">
      <c r="B224" s="84"/>
      <c r="C224" s="85"/>
      <c r="D224" s="86"/>
      <c r="E224" s="86"/>
      <c r="F224" s="86"/>
      <c r="G224" s="86"/>
      <c r="H224" s="86"/>
      <c r="I224" s="87"/>
      <c r="J224" s="87"/>
      <c r="K224" s="86" t="s">
        <v>293</v>
      </c>
      <c r="L224" s="86"/>
      <c r="M224" s="86"/>
      <c r="N224" s="88"/>
      <c r="O224" s="88"/>
      <c r="R224" s="10"/>
      <c r="S224" s="89"/>
      <c r="T224" s="89"/>
      <c r="U224" s="90"/>
      <c r="V224" s="89"/>
      <c r="W224" s="91" t="str">
        <f aca="false">IF(OR(U224=0,N224=""), "", O224*ROUND(U224,0))</f>
        <v/>
      </c>
      <c r="X224" s="101" t="str">
        <f aca="false">IF(AND(N224="", U224&lt;&gt;""),"?",IF(AND(W224&lt;&gt;0,W224&lt;&gt;""), "р.", ""))</f>
        <v/>
      </c>
      <c r="Y224" s="93" t="str">
        <f aca="false">IF(AND(S224&gt;0,U224&gt;0), S224*ROUND(U224,0) / 1000, "")</f>
        <v/>
      </c>
      <c r="Z224" s="101" t="str">
        <f aca="false">IF(AND(Y224&lt;&gt;0,Y224&lt;&gt;""), "кг", "")</f>
        <v/>
      </c>
      <c r="AA224" s="10"/>
    </row>
    <row r="225" customFormat="false" ht="18.15" hidden="false" customHeight="true" outlineLevel="0" collapsed="false">
      <c r="B225" s="61"/>
      <c r="C225" s="62" t="str">
        <f aca="false">HYPERLINK("http://www.emi-penza.ru/p/223/", "811.3702")</f>
        <v>811.3702</v>
      </c>
      <c r="D225" s="63" t="s">
        <v>294</v>
      </c>
      <c r="E225" s="63"/>
      <c r="F225" s="63"/>
      <c r="G225" s="63" t="s">
        <v>219</v>
      </c>
      <c r="H225" s="63"/>
      <c r="I225" s="64" t="s">
        <v>220</v>
      </c>
      <c r="J225" s="64"/>
      <c r="K225" s="63" t="s">
        <v>295</v>
      </c>
      <c r="L225" s="63"/>
      <c r="M225" s="63"/>
      <c r="N225" s="65" t="n">
        <v>130</v>
      </c>
      <c r="O225" s="65" t="n">
        <f aca="false">ROUND(N225*1.2, 2)</f>
        <v>156</v>
      </c>
      <c r="R225" s="10"/>
      <c r="S225" s="66" t="n">
        <v>33</v>
      </c>
      <c r="T225" s="66"/>
      <c r="U225" s="67" t="n">
        <v>0</v>
      </c>
      <c r="V225" s="66"/>
      <c r="W225" s="72" t="str">
        <f aca="false">IF(OR(U225=0,N225=""), "", O225*ROUND(U225,0))</f>
        <v/>
      </c>
      <c r="X225" s="99" t="str">
        <f aca="false">IF(AND(N225="", U225&lt;&gt;""),"?",IF(AND(W225&lt;&gt;0,W225&lt;&gt;""), "р.", ""))</f>
        <v/>
      </c>
      <c r="Y225" s="70" t="str">
        <f aca="false">IF(AND(S225&gt;0,U225&gt;0), S225*ROUND(U225,0) / 1000, "")</f>
        <v/>
      </c>
      <c r="Z225" s="99" t="str">
        <f aca="false">IF(AND(Y225&lt;&gt;0,Y225&lt;&gt;""), "кг", "")</f>
        <v/>
      </c>
      <c r="AA225" s="10"/>
    </row>
    <row r="226" customFormat="false" ht="14.45" hidden="false" customHeight="true" outlineLevel="0" collapsed="false">
      <c r="B226" s="73"/>
      <c r="C226" s="74" t="str">
        <f aca="false">HYPERLINK("http://www.emi-penza.ru/p/206/", "811.3702 З-Л")</f>
        <v>811.3702 З-Л</v>
      </c>
      <c r="D226" s="75" t="s">
        <v>296</v>
      </c>
      <c r="E226" s="75"/>
      <c r="F226" s="75"/>
      <c r="G226" s="75" t="s">
        <v>297</v>
      </c>
      <c r="H226" s="75"/>
      <c r="I226" s="76" t="s">
        <v>220</v>
      </c>
      <c r="J226" s="76"/>
      <c r="K226" s="75" t="s">
        <v>298</v>
      </c>
      <c r="L226" s="75"/>
      <c r="M226" s="75"/>
      <c r="N226" s="77" t="n">
        <v>133</v>
      </c>
      <c r="O226" s="77" t="n">
        <f aca="false">ROUND(N226*1.2, 2)</f>
        <v>159.6</v>
      </c>
      <c r="R226" s="10"/>
      <c r="S226" s="78" t="n">
        <v>39</v>
      </c>
      <c r="T226" s="78"/>
      <c r="U226" s="79" t="n">
        <v>0</v>
      </c>
      <c r="V226" s="78"/>
      <c r="W226" s="80" t="str">
        <f aca="false">IF(OR(U226=0,N226=""), "", O226*ROUND(U226,0))</f>
        <v/>
      </c>
      <c r="X226" s="100" t="str">
        <f aca="false">IF(AND(N226="", U226&lt;&gt;""),"?",IF(AND(W226&lt;&gt;0,W226&lt;&gt;""), "р.", ""))</f>
        <v/>
      </c>
      <c r="Y226" s="82" t="str">
        <f aca="false">IF(AND(S226&gt;0,U226&gt;0), S226*ROUND(U226,0) / 1000, "")</f>
        <v/>
      </c>
      <c r="Z226" s="100" t="str">
        <f aca="false">IF(AND(Y226&lt;&gt;0,Y226&lt;&gt;""), "кг", "")</f>
        <v/>
      </c>
      <c r="AA226" s="10"/>
    </row>
    <row r="227" customFormat="false" ht="14.45" hidden="false" customHeight="true" outlineLevel="0" collapsed="false">
      <c r="B227" s="84"/>
      <c r="C227" s="85"/>
      <c r="D227" s="86" t="s">
        <v>299</v>
      </c>
      <c r="E227" s="86"/>
      <c r="F227" s="86"/>
      <c r="G227" s="86"/>
      <c r="H227" s="86"/>
      <c r="I227" s="87"/>
      <c r="J227" s="87"/>
      <c r="K227" s="86"/>
      <c r="L227" s="86"/>
      <c r="M227" s="171"/>
      <c r="N227" s="88"/>
      <c r="O227" s="88"/>
      <c r="R227" s="10"/>
      <c r="S227" s="89"/>
      <c r="T227" s="89"/>
      <c r="U227" s="90"/>
      <c r="V227" s="89"/>
      <c r="W227" s="91" t="str">
        <f aca="false">IF(OR(U227=0,N227=""), "", O227*ROUND(U227,0))</f>
        <v/>
      </c>
      <c r="X227" s="101" t="str">
        <f aca="false">IF(AND(N227="", U227&lt;&gt;""),"?",IF(AND(W227&lt;&gt;0,W227&lt;&gt;""), "р.", ""))</f>
        <v/>
      </c>
      <c r="Y227" s="93" t="str">
        <f aca="false">IF(AND(S227&gt;0,U227&gt;0), S227*ROUND(U227,0) / 1000, "")</f>
        <v/>
      </c>
      <c r="Z227" s="101" t="str">
        <f aca="false">IF(AND(Y227&lt;&gt;0,Y227&lt;&gt;""), "кг", "")</f>
        <v/>
      </c>
      <c r="AA227" s="10"/>
    </row>
    <row r="228" customFormat="false" ht="18.15" hidden="false" customHeight="true" outlineLevel="0" collapsed="false">
      <c r="B228" s="61"/>
      <c r="C228" s="62" t="str">
        <f aca="false">HYPERLINK("http://www.emi-penza.ru/p/224/", "811.3702-01")</f>
        <v>811.3702-01</v>
      </c>
      <c r="D228" s="63" t="s">
        <v>300</v>
      </c>
      <c r="E228" s="63"/>
      <c r="F228" s="63"/>
      <c r="G228" s="63" t="s">
        <v>219</v>
      </c>
      <c r="H228" s="63"/>
      <c r="I228" s="64" t="s">
        <v>231</v>
      </c>
      <c r="J228" s="64"/>
      <c r="K228" s="63" t="s">
        <v>301</v>
      </c>
      <c r="L228" s="63"/>
      <c r="M228" s="63"/>
      <c r="N228" s="65" t="n">
        <v>133</v>
      </c>
      <c r="O228" s="65" t="n">
        <f aca="false">ROUND(N228*1.2, 2)</f>
        <v>159.6</v>
      </c>
      <c r="R228" s="10"/>
      <c r="S228" s="66" t="n">
        <v>34</v>
      </c>
      <c r="T228" s="66"/>
      <c r="U228" s="67" t="n">
        <v>0</v>
      </c>
      <c r="V228" s="66"/>
      <c r="W228" s="72" t="str">
        <f aca="false">IF(OR(U228=0,N228=""), "", O228*ROUND(U228,0))</f>
        <v/>
      </c>
      <c r="X228" s="99" t="str">
        <f aca="false">IF(AND(N228="", U228&lt;&gt;""),"?",IF(AND(W228&lt;&gt;0,W228&lt;&gt;""), "р.", ""))</f>
        <v/>
      </c>
      <c r="Y228" s="70" t="str">
        <f aca="false">IF(AND(S228&gt;0,U228&gt;0), S228*ROUND(U228,0) / 1000, "")</f>
        <v/>
      </c>
      <c r="Z228" s="99" t="str">
        <f aca="false">IF(AND(Y228&lt;&gt;0,Y228&lt;&gt;""), "кг", "")</f>
        <v/>
      </c>
      <c r="AA228" s="10"/>
    </row>
    <row r="229" customFormat="false" ht="18.15" hidden="false" customHeight="true" outlineLevel="0" collapsed="false">
      <c r="B229" s="61"/>
      <c r="C229" s="62" t="str">
        <f aca="false">HYPERLINK("http://www.emi-penza.ru/p/225/", "811.3702-02")</f>
        <v>811.3702-02</v>
      </c>
      <c r="D229" s="63" t="s">
        <v>302</v>
      </c>
      <c r="E229" s="63"/>
      <c r="F229" s="63"/>
      <c r="G229" s="63" t="s">
        <v>219</v>
      </c>
      <c r="H229" s="63"/>
      <c r="I229" s="64" t="s">
        <v>231</v>
      </c>
      <c r="J229" s="64"/>
      <c r="K229" s="63" t="s">
        <v>303</v>
      </c>
      <c r="L229" s="63"/>
      <c r="M229" s="63"/>
      <c r="N229" s="65" t="n">
        <v>158</v>
      </c>
      <c r="O229" s="65" t="n">
        <f aca="false">ROUND(N229*1.2, 2)</f>
        <v>189.6</v>
      </c>
      <c r="R229" s="10"/>
      <c r="S229" s="66" t="n">
        <v>34</v>
      </c>
      <c r="T229" s="66"/>
      <c r="U229" s="67" t="n">
        <v>0</v>
      </c>
      <c r="V229" s="66"/>
      <c r="W229" s="72" t="str">
        <f aca="false">IF(OR(U229=0,N229=""), "", O229*ROUND(U229,0))</f>
        <v/>
      </c>
      <c r="X229" s="99" t="str">
        <f aca="false">IF(AND(N229="", U229&lt;&gt;""),"?",IF(AND(W229&lt;&gt;0,W229&lt;&gt;""), "р.", ""))</f>
        <v/>
      </c>
      <c r="Y229" s="70" t="str">
        <f aca="false">IF(AND(S229&gt;0,U229&gt;0), S229*ROUND(U229,0) / 1000, "")</f>
        <v/>
      </c>
      <c r="Z229" s="99" t="str">
        <f aca="false">IF(AND(Y229&lt;&gt;0,Y229&lt;&gt;""), "кг", "")</f>
        <v/>
      </c>
      <c r="AA229" s="10"/>
    </row>
    <row r="230" customFormat="false" ht="18.15" hidden="false" customHeight="true" outlineLevel="0" collapsed="false">
      <c r="B230" s="61"/>
      <c r="C230" s="62" t="str">
        <f aca="false">HYPERLINK("http://www.emi-penza.ru/p/226/", "811.3702-03")</f>
        <v>811.3702-03</v>
      </c>
      <c r="D230" s="63" t="s">
        <v>304</v>
      </c>
      <c r="E230" s="63"/>
      <c r="F230" s="63"/>
      <c r="G230" s="63" t="s">
        <v>219</v>
      </c>
      <c r="H230" s="63"/>
      <c r="I230" s="64" t="s">
        <v>231</v>
      </c>
      <c r="J230" s="64"/>
      <c r="K230" s="63" t="s">
        <v>303</v>
      </c>
      <c r="L230" s="63"/>
      <c r="M230" s="63"/>
      <c r="N230" s="65" t="n">
        <v>158</v>
      </c>
      <c r="O230" s="65" t="n">
        <f aca="false">ROUND(N230*1.2, 2)</f>
        <v>189.6</v>
      </c>
      <c r="R230" s="10"/>
      <c r="S230" s="66" t="n">
        <v>34</v>
      </c>
      <c r="T230" s="66"/>
      <c r="U230" s="67" t="n">
        <v>0</v>
      </c>
      <c r="V230" s="66"/>
      <c r="W230" s="72" t="str">
        <f aca="false">IF(OR(U230=0,N230=""), "", O230*ROUND(U230,0))</f>
        <v/>
      </c>
      <c r="X230" s="99" t="str">
        <f aca="false">IF(AND(N230="", U230&lt;&gt;""),"?",IF(AND(W230&lt;&gt;0,W230&lt;&gt;""), "р.", ""))</f>
        <v/>
      </c>
      <c r="Y230" s="70" t="str">
        <f aca="false">IF(AND(S230&gt;0,U230&gt;0), S230*ROUND(U230,0) / 1000, "")</f>
        <v/>
      </c>
      <c r="Z230" s="99" t="str">
        <f aca="false">IF(AND(Y230&lt;&gt;0,Y230&lt;&gt;""), "кг", "")</f>
        <v/>
      </c>
      <c r="AA230" s="10"/>
    </row>
    <row r="231" customFormat="false" ht="18.15" hidden="false" customHeight="true" outlineLevel="0" collapsed="false">
      <c r="B231" s="61"/>
      <c r="C231" s="62" t="str">
        <f aca="false">HYPERLINK("http://www.emi-penza.ru/p/227/", "811.3702-04")</f>
        <v>811.3702-04</v>
      </c>
      <c r="D231" s="63" t="s">
        <v>305</v>
      </c>
      <c r="E231" s="63"/>
      <c r="F231" s="63"/>
      <c r="G231" s="63" t="s">
        <v>219</v>
      </c>
      <c r="H231" s="63"/>
      <c r="I231" s="64" t="s">
        <v>231</v>
      </c>
      <c r="J231" s="64"/>
      <c r="K231" s="63" t="s">
        <v>303</v>
      </c>
      <c r="L231" s="63"/>
      <c r="M231" s="63"/>
      <c r="N231" s="65" t="n">
        <v>154</v>
      </c>
      <c r="O231" s="65" t="n">
        <f aca="false">ROUND(N231*1.2, 2)</f>
        <v>184.8</v>
      </c>
      <c r="R231" s="10"/>
      <c r="S231" s="66" t="n">
        <v>33</v>
      </c>
      <c r="T231" s="66"/>
      <c r="U231" s="67" t="n">
        <v>0</v>
      </c>
      <c r="V231" s="66"/>
      <c r="W231" s="72" t="str">
        <f aca="false">IF(OR(U231=0,N231=""), "", O231*ROUND(U231,0))</f>
        <v/>
      </c>
      <c r="X231" s="99" t="str">
        <f aca="false">IF(AND(N231="", U231&lt;&gt;""),"?",IF(AND(W231&lt;&gt;0,W231&lt;&gt;""), "р.", ""))</f>
        <v/>
      </c>
      <c r="Y231" s="70" t="str">
        <f aca="false">IF(AND(S231&gt;0,U231&gt;0), S231*ROUND(U231,0) / 1000, "")</f>
        <v/>
      </c>
      <c r="Z231" s="99" t="str">
        <f aca="false">IF(AND(Y231&lt;&gt;0,Y231&lt;&gt;""), "кг", "")</f>
        <v/>
      </c>
      <c r="AA231" s="10"/>
    </row>
    <row r="232" customFormat="false" ht="18.15" hidden="false" customHeight="true" outlineLevel="0" collapsed="false">
      <c r="B232" s="61"/>
      <c r="C232" s="62" t="str">
        <f aca="false">HYPERLINK("http://www.emi-penza.ru/p/228/", "811.3702-05")</f>
        <v>811.3702-05</v>
      </c>
      <c r="D232" s="63"/>
      <c r="E232" s="63"/>
      <c r="F232" s="63"/>
      <c r="G232" s="63" t="s">
        <v>219</v>
      </c>
      <c r="H232" s="63"/>
      <c r="I232" s="64" t="s">
        <v>220</v>
      </c>
      <c r="J232" s="64"/>
      <c r="K232" s="63" t="s">
        <v>295</v>
      </c>
      <c r="L232" s="63"/>
      <c r="M232" s="63"/>
      <c r="N232" s="65" t="n">
        <v>132</v>
      </c>
      <c r="O232" s="65" t="n">
        <f aca="false">ROUND(N232*1.2, 2)</f>
        <v>158.4</v>
      </c>
      <c r="R232" s="10"/>
      <c r="S232" s="66" t="n">
        <v>33</v>
      </c>
      <c r="T232" s="66"/>
      <c r="U232" s="67" t="n">
        <v>0</v>
      </c>
      <c r="V232" s="66"/>
      <c r="W232" s="72" t="str">
        <f aca="false">IF(OR(U232=0,N232=""), "", O232*ROUND(U232,0))</f>
        <v/>
      </c>
      <c r="X232" s="99" t="str">
        <f aca="false">IF(AND(N232="", U232&lt;&gt;""),"?",IF(AND(W232&lt;&gt;0,W232&lt;&gt;""), "р.", ""))</f>
        <v/>
      </c>
      <c r="Y232" s="70" t="str">
        <f aca="false">IF(AND(S232&gt;0,U232&gt;0), S232*ROUND(U232,0) / 1000, "")</f>
        <v/>
      </c>
      <c r="Z232" s="99" t="str">
        <f aca="false">IF(AND(Y232&lt;&gt;0,Y232&lt;&gt;""), "кг", "")</f>
        <v/>
      </c>
      <c r="AA232" s="10"/>
    </row>
    <row r="233" customFormat="false" ht="18.15" hidden="false" customHeight="true" outlineLevel="0" collapsed="false">
      <c r="B233" s="61"/>
      <c r="C233" s="62" t="str">
        <f aca="false">HYPERLINK("http://www.emi-penza.ru/p/229/", "811.3702-06")</f>
        <v>811.3702-06</v>
      </c>
      <c r="D233" s="63" t="s">
        <v>306</v>
      </c>
      <c r="E233" s="63"/>
      <c r="F233" s="63"/>
      <c r="G233" s="63" t="s">
        <v>219</v>
      </c>
      <c r="H233" s="63"/>
      <c r="I233" s="64" t="s">
        <v>220</v>
      </c>
      <c r="J233" s="64"/>
      <c r="K233" s="63" t="s">
        <v>295</v>
      </c>
      <c r="L233" s="63"/>
      <c r="M233" s="63"/>
      <c r="N233" s="65" t="n">
        <v>147</v>
      </c>
      <c r="O233" s="65" t="n">
        <f aca="false">ROUND(N233*1.2, 2)</f>
        <v>176.4</v>
      </c>
      <c r="R233" s="10"/>
      <c r="S233" s="66" t="n">
        <v>33</v>
      </c>
      <c r="T233" s="66"/>
      <c r="U233" s="67" t="n">
        <v>0</v>
      </c>
      <c r="V233" s="66"/>
      <c r="W233" s="72" t="str">
        <f aca="false">IF(OR(U233=0,N233=""), "", O233*ROUND(U233,0))</f>
        <v/>
      </c>
      <c r="X233" s="99" t="str">
        <f aca="false">IF(AND(N233="", U233&lt;&gt;""),"?",IF(AND(W233&lt;&gt;0,W233&lt;&gt;""), "р.", ""))</f>
        <v/>
      </c>
      <c r="Y233" s="70" t="str">
        <f aca="false">IF(AND(S233&gt;0,U233&gt;0), S233*ROUND(U233,0) / 1000, "")</f>
        <v/>
      </c>
      <c r="Z233" s="99" t="str">
        <f aca="false">IF(AND(Y233&lt;&gt;0,Y233&lt;&gt;""), "кг", "")</f>
        <v/>
      </c>
      <c r="AA233" s="10"/>
    </row>
    <row r="234" customFormat="false" ht="18.15" hidden="false" customHeight="true" outlineLevel="0" collapsed="false">
      <c r="B234" s="61"/>
      <c r="C234" s="62" t="str">
        <f aca="false">HYPERLINK("http://www.emi-penza.ru/p/811.3702-08", "811.3702-08")</f>
        <v>811.3702-08</v>
      </c>
      <c r="D234" s="63" t="s">
        <v>294</v>
      </c>
      <c r="E234" s="63"/>
      <c r="F234" s="63"/>
      <c r="G234" s="63" t="s">
        <v>219</v>
      </c>
      <c r="H234" s="63"/>
      <c r="I234" s="64" t="s">
        <v>220</v>
      </c>
      <c r="J234" s="64"/>
      <c r="K234" s="63" t="s">
        <v>295</v>
      </c>
      <c r="L234" s="63"/>
      <c r="M234" s="63"/>
      <c r="N234" s="65" t="n">
        <v>156</v>
      </c>
      <c r="O234" s="65" t="n">
        <f aca="false">ROUND(N234*1.2, 2)</f>
        <v>187.2</v>
      </c>
      <c r="R234" s="10"/>
      <c r="S234" s="66" t="n">
        <v>33</v>
      </c>
      <c r="T234" s="66"/>
      <c r="U234" s="67" t="n">
        <v>0</v>
      </c>
      <c r="V234" s="66"/>
      <c r="W234" s="72" t="str">
        <f aca="false">IF(OR(U234=0,N234=""), "", O234*ROUND(U234,0))</f>
        <v/>
      </c>
      <c r="X234" s="99" t="str">
        <f aca="false">IF(AND(N234="", U234&lt;&gt;""),"?",IF(AND(W234&lt;&gt;0,W234&lt;&gt;""), "р.", ""))</f>
        <v/>
      </c>
      <c r="Y234" s="70" t="str">
        <f aca="false">IF(AND(S234&gt;0,U234&gt;0), S234*ROUND(U234,0) / 1000, "")</f>
        <v/>
      </c>
      <c r="Z234" s="99" t="str">
        <f aca="false">IF(AND(Y234&lt;&gt;0,Y234&lt;&gt;""), "кг", "")</f>
        <v/>
      </c>
      <c r="AA234" s="10"/>
    </row>
    <row r="235" customFormat="false" ht="18.15" hidden="false" customHeight="true" outlineLevel="0" collapsed="false">
      <c r="B235" s="61"/>
      <c r="C235" s="62" t="str">
        <f aca="false">HYPERLINK("http://www.emi-penza.ru/p/811.3702-10", "811.3702-10")</f>
        <v>811.3702-10</v>
      </c>
      <c r="D235" s="63" t="s">
        <v>294</v>
      </c>
      <c r="E235" s="63"/>
      <c r="F235" s="63"/>
      <c r="G235" s="63" t="s">
        <v>219</v>
      </c>
      <c r="H235" s="63"/>
      <c r="I235" s="64" t="s">
        <v>220</v>
      </c>
      <c r="J235" s="64"/>
      <c r="K235" s="63" t="s">
        <v>295</v>
      </c>
      <c r="L235" s="63"/>
      <c r="M235" s="63"/>
      <c r="N235" s="65" t="n">
        <v>183</v>
      </c>
      <c r="O235" s="65" t="n">
        <f aca="false">ROUND(N235*1.2, 2)</f>
        <v>219.6</v>
      </c>
      <c r="R235" s="10"/>
      <c r="S235" s="66" t="n">
        <v>33</v>
      </c>
      <c r="T235" s="66"/>
      <c r="U235" s="67" t="n">
        <v>0</v>
      </c>
      <c r="V235" s="66"/>
      <c r="W235" s="72" t="str">
        <f aca="false">IF(OR(U235=0,N235=""), "", O235*ROUND(U235,0))</f>
        <v/>
      </c>
      <c r="X235" s="99" t="str">
        <f aca="false">IF(AND(N235="", U235&lt;&gt;""),"?",IF(AND(W235&lt;&gt;0,W235&lt;&gt;""), "р.", ""))</f>
        <v/>
      </c>
      <c r="Y235" s="70" t="str">
        <f aca="false">IF(AND(S235&gt;0,U235&gt;0), S235*ROUND(U235,0) / 1000, "")</f>
        <v/>
      </c>
      <c r="Z235" s="99" t="str">
        <f aca="false">IF(AND(Y235&lt;&gt;0,Y235&lt;&gt;""), "кг", "")</f>
        <v/>
      </c>
      <c r="AA235" s="10"/>
    </row>
    <row r="236" customFormat="false" ht="18.15" hidden="false" customHeight="true" outlineLevel="0" collapsed="false">
      <c r="B236" s="61"/>
      <c r="C236" s="149" t="str">
        <f aca="false">HYPERLINK("http://www.emi-penza.ru/p/811.3702-11", "811.3702-11")</f>
        <v>811.3702-11</v>
      </c>
      <c r="D236" s="146" t="s">
        <v>294</v>
      </c>
      <c r="E236" s="146"/>
      <c r="F236" s="146"/>
      <c r="G236" s="146" t="s">
        <v>219</v>
      </c>
      <c r="H236" s="146"/>
      <c r="I236" s="150" t="s">
        <v>220</v>
      </c>
      <c r="J236" s="150"/>
      <c r="K236" s="146" t="s">
        <v>295</v>
      </c>
      <c r="L236" s="146"/>
      <c r="M236" s="146"/>
      <c r="N236" s="151" t="n">
        <v>183</v>
      </c>
      <c r="O236" s="151" t="n">
        <f aca="false">ROUND(N236*1.2, 2)</f>
        <v>219.6</v>
      </c>
      <c r="R236" s="10"/>
      <c r="S236" s="152" t="n">
        <v>33</v>
      </c>
      <c r="T236" s="152"/>
      <c r="U236" s="153" t="n">
        <v>0</v>
      </c>
      <c r="V236" s="152"/>
      <c r="W236" s="154" t="str">
        <f aca="false">IF(OR(U236=0,N236=""), "", O236*ROUND(U236,0))</f>
        <v/>
      </c>
      <c r="X236" s="155" t="str">
        <f aca="false">IF(AND(N236="", U236&lt;&gt;""),"?",IF(AND(W236&lt;&gt;0,W236&lt;&gt;""), "р.", ""))</f>
        <v/>
      </c>
      <c r="Y236" s="156" t="str">
        <f aca="false">IF(AND(S236&gt;0,U236&gt;0), S236*ROUND(U236,0) / 1000, "")</f>
        <v/>
      </c>
      <c r="Z236" s="155" t="str">
        <f aca="false">IF(AND(Y236&lt;&gt;0,Y236&lt;&gt;""), "кг", "")</f>
        <v/>
      </c>
      <c r="AA236" s="10"/>
    </row>
    <row r="237" customFormat="false" ht="9.95" hidden="false" customHeight="true" outlineLevel="0" collapsed="false">
      <c r="B237" s="3"/>
      <c r="K237" s="146"/>
      <c r="R237" s="10"/>
      <c r="S237" s="136"/>
      <c r="T237" s="136"/>
      <c r="U237" s="137"/>
      <c r="V237" s="136"/>
      <c r="W237" s="12" t="str">
        <f aca="false">IF(OR(U237=0,N237=""), "", O237*ROUND(U237,0))</f>
        <v/>
      </c>
      <c r="X237" s="143" t="str">
        <f aca="false">IF(AND(N237="", U237&lt;&gt;""),"?",IF(AND(W237&lt;&gt;0,W237&lt;&gt;""), "р.", ""))</f>
        <v/>
      </c>
      <c r="Y237" s="14" t="str">
        <f aca="false">IF(AND(S237&gt;0,U237&gt;0), S237*ROUND(U237,0) / 1000, "")</f>
        <v/>
      </c>
      <c r="Z237" s="143" t="str">
        <f aca="false">IF(AND(Y237&lt;&gt;0,Y237&lt;&gt;""), "кг", "")</f>
        <v/>
      </c>
      <c r="AA237" s="10"/>
    </row>
    <row r="238" customFormat="false" ht="22.7" hidden="false" customHeight="true" outlineLevel="0" collapsed="false">
      <c r="B238" s="3"/>
      <c r="C238" s="51" t="s">
        <v>307</v>
      </c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3"/>
      <c r="O238" s="53"/>
      <c r="R238" s="10"/>
      <c r="S238" s="138"/>
      <c r="T238" s="138"/>
      <c r="U238" s="139"/>
      <c r="V238" s="138"/>
      <c r="W238" s="140" t="str">
        <f aca="false">IF(OR(U238=0,N238=""), "", O238*ROUND(U238,0))</f>
        <v/>
      </c>
      <c r="X238" s="141" t="str">
        <f aca="false">IF(AND(N238="", U238&lt;&gt;""),"?",IF(AND(W238&lt;&gt;0,W238&lt;&gt;""), "р.", ""))</f>
        <v/>
      </c>
      <c r="Y238" s="142" t="str">
        <f aca="false">IF(AND(S238&gt;0,U238&gt;0), S238*ROUND(U238,0) / 1000, "")</f>
        <v/>
      </c>
      <c r="Z238" s="141" t="str">
        <f aca="false">IF(AND(Y238&lt;&gt;0,Y238&lt;&gt;""), "кг", "")</f>
        <v/>
      </c>
      <c r="AA238" s="10"/>
    </row>
    <row r="239" customFormat="false" ht="2.85" hidden="false" customHeight="true" outlineLevel="0" collapsed="false">
      <c r="B239" s="3"/>
      <c r="R239" s="10"/>
      <c r="S239" s="136"/>
      <c r="T239" s="136"/>
      <c r="U239" s="137"/>
      <c r="V239" s="136"/>
      <c r="W239" s="12" t="str">
        <f aca="false">IF(OR(U239=0,N239=""), "", O239*ROUND(U239,0))</f>
        <v/>
      </c>
      <c r="X239" s="143" t="str">
        <f aca="false">IF(AND(N239="", U239&lt;&gt;""),"?",IF(AND(W239&lt;&gt;0,W239&lt;&gt;""), "р.", ""))</f>
        <v/>
      </c>
      <c r="Y239" s="14" t="str">
        <f aca="false">IF(AND(S239&gt;0,U239&gt;0), S239*ROUND(U239,0) / 1000, "")</f>
        <v/>
      </c>
      <c r="Z239" s="143" t="str">
        <f aca="false">IF(AND(Y239&lt;&gt;0,Y239&lt;&gt;""), "кг", "")</f>
        <v/>
      </c>
      <c r="AA239" s="10"/>
    </row>
    <row r="240" customFormat="false" ht="13.3" hidden="true" customHeight="true" outlineLevel="0" collapsed="false">
      <c r="B240" s="59" t="s">
        <v>20</v>
      </c>
      <c r="C240" s="60" t="s">
        <v>21</v>
      </c>
      <c r="R240" s="10"/>
      <c r="S240" s="136"/>
      <c r="T240" s="136"/>
      <c r="U240" s="137"/>
      <c r="V240" s="136"/>
      <c r="W240" s="12" t="str">
        <f aca="false">IF(OR(U240=0,N240=""), "", O240*ROUND(U240,0))</f>
        <v/>
      </c>
      <c r="X240" s="143" t="str">
        <f aca="false">IF(AND(N240="", U240&lt;&gt;""),"?",IF(AND(W240&lt;&gt;0,W240&lt;&gt;""), "р.", ""))</f>
        <v/>
      </c>
      <c r="Y240" s="14" t="str">
        <f aca="false">IF(AND(S240&gt;0,U240&gt;0), S240*ROUND(U240,0) / 1000, "")</f>
        <v/>
      </c>
      <c r="Z240" s="143" t="str">
        <f aca="false">IF(AND(Y240&lt;&gt;0,Y240&lt;&gt;""), "кг", "")</f>
        <v/>
      </c>
      <c r="AA240" s="10"/>
    </row>
    <row r="241" customFormat="false" ht="13.3" hidden="false" customHeight="true" outlineLevel="0" collapsed="false">
      <c r="B241" s="61" t="s">
        <v>20</v>
      </c>
      <c r="C241" s="60" t="s">
        <v>21</v>
      </c>
      <c r="R241" s="10"/>
      <c r="S241" s="136"/>
      <c r="T241" s="136"/>
      <c r="U241" s="137"/>
      <c r="V241" s="136"/>
      <c r="W241" s="12" t="str">
        <f aca="false">IF(OR(U241=0,N241=""), "", O241*ROUND(U241,0))</f>
        <v/>
      </c>
      <c r="X241" s="143" t="str">
        <f aca="false">IF(AND(N241="", U241&lt;&gt;""),"?",IF(AND(W241&lt;&gt;0,W241&lt;&gt;""), "р.", ""))</f>
        <v/>
      </c>
      <c r="Y241" s="14" t="str">
        <f aca="false">IF(AND(S241&gt;0,U241&gt;0), S241*ROUND(U241,0) / 1000, "")</f>
        <v/>
      </c>
      <c r="Z241" s="143" t="str">
        <f aca="false">IF(AND(Y241&lt;&gt;0,Y241&lt;&gt;""), "кг", "")</f>
        <v/>
      </c>
      <c r="AA241" s="10"/>
    </row>
    <row r="242" customFormat="false" ht="14.15" hidden="false" customHeight="true" outlineLevel="0" collapsed="false">
      <c r="B242" s="173"/>
      <c r="C242" s="74" t="str">
        <f aca="false">HYPERLINK("http://www.emi-penza.ru/p/301/", "57.3777")</f>
        <v>57.3777</v>
      </c>
      <c r="D242" s="75" t="s">
        <v>308</v>
      </c>
      <c r="E242" s="75"/>
      <c r="F242" s="75"/>
      <c r="G242" s="75" t="s">
        <v>309</v>
      </c>
      <c r="H242" s="75"/>
      <c r="I242" s="76" t="s">
        <v>310</v>
      </c>
      <c r="J242" s="76"/>
      <c r="K242" s="75" t="s">
        <v>311</v>
      </c>
      <c r="L242" s="75"/>
      <c r="M242" s="75"/>
      <c r="N242" s="77" t="n">
        <v>203</v>
      </c>
      <c r="O242" s="77" t="n">
        <f aca="false">ROUND(N242*1.2, 2)</f>
        <v>243.6</v>
      </c>
      <c r="R242" s="10"/>
      <c r="S242" s="78" t="n">
        <v>78</v>
      </c>
      <c r="T242" s="78"/>
      <c r="U242" s="79" t="n">
        <v>0</v>
      </c>
      <c r="V242" s="78"/>
      <c r="W242" s="80" t="str">
        <f aca="false">IF(OR(U242=0,N242=""), "", O242*ROUND(U242,0))</f>
        <v/>
      </c>
      <c r="X242" s="100" t="str">
        <f aca="false">IF(AND(N242="", U242&lt;&gt;""),"?",IF(AND(W242&lt;&gt;0,W242&lt;&gt;""), "р.", ""))</f>
        <v/>
      </c>
      <c r="Y242" s="82" t="str">
        <f aca="false">IF(AND(S242&gt;0,U242&gt;0), S242*ROUND(U242,0) / 1000, "")</f>
        <v/>
      </c>
      <c r="Z242" s="100" t="str">
        <f aca="false">IF(AND(Y242&lt;&gt;0,Y242&lt;&gt;""), "кг", "")</f>
        <v/>
      </c>
      <c r="AA242" s="10"/>
    </row>
    <row r="243" customFormat="false" ht="15" hidden="false" customHeight="true" outlineLevel="0" collapsed="false">
      <c r="B243" s="3"/>
      <c r="C243" s="85"/>
      <c r="D243" s="86"/>
      <c r="E243" s="86"/>
      <c r="F243" s="86"/>
      <c r="G243" s="86"/>
      <c r="H243" s="86"/>
      <c r="I243" s="87"/>
      <c r="J243" s="87"/>
      <c r="K243" s="86" t="s">
        <v>312</v>
      </c>
      <c r="L243" s="86"/>
      <c r="M243" s="171" t="s">
        <v>249</v>
      </c>
      <c r="N243" s="88" t="n">
        <v>213</v>
      </c>
      <c r="O243" s="88" t="n">
        <f aca="false">ROUND(N243*1.2, 2)</f>
        <v>255.6</v>
      </c>
      <c r="R243" s="10"/>
      <c r="S243" s="89" t="n">
        <v>93</v>
      </c>
      <c r="T243" s="89"/>
      <c r="U243" s="90" t="n">
        <v>0</v>
      </c>
      <c r="V243" s="89"/>
      <c r="W243" s="91" t="str">
        <f aca="false">IF(OR(U243=0,N243=""), "", O243*ROUND(U243,0))</f>
        <v/>
      </c>
      <c r="X243" s="101" t="str">
        <f aca="false">IF(AND(N243="", U243&lt;&gt;""),"?",IF(AND(W243&lt;&gt;0,W243&lt;&gt;""), "р.", ""))</f>
        <v/>
      </c>
      <c r="Y243" s="93" t="str">
        <f aca="false">IF(AND(S243&gt;0,U243&gt;0), S243*ROUND(U243,0) / 1000, "")</f>
        <v/>
      </c>
      <c r="Z243" s="101" t="str">
        <f aca="false">IF(AND(Y243&lt;&gt;0,Y243&lt;&gt;""), "кг", "")</f>
        <v/>
      </c>
      <c r="AA243" s="10"/>
    </row>
    <row r="244" customFormat="false" ht="18.15" hidden="false" customHeight="true" outlineLevel="0" collapsed="false">
      <c r="B244" s="59"/>
      <c r="C244" s="62" t="str">
        <f aca="false">HYPERLINK("http://www.emi-penza.ru/p/302/", "57.3777-01")</f>
        <v>57.3777-01</v>
      </c>
      <c r="D244" s="63" t="s">
        <v>313</v>
      </c>
      <c r="E244" s="63"/>
      <c r="F244" s="63"/>
      <c r="G244" s="63" t="s">
        <v>309</v>
      </c>
      <c r="H244" s="63"/>
      <c r="I244" s="64" t="s">
        <v>310</v>
      </c>
      <c r="J244" s="64"/>
      <c r="K244" s="63" t="s">
        <v>314</v>
      </c>
      <c r="L244" s="63"/>
      <c r="M244" s="98" t="s">
        <v>249</v>
      </c>
      <c r="N244" s="65" t="n">
        <v>270</v>
      </c>
      <c r="O244" s="65" t="n">
        <f aca="false">ROUND(N244*1.2, 2)</f>
        <v>324</v>
      </c>
      <c r="R244" s="10"/>
      <c r="S244" s="66" t="n">
        <v>93</v>
      </c>
      <c r="T244" s="66"/>
      <c r="U244" s="67" t="n">
        <v>0</v>
      </c>
      <c r="V244" s="66"/>
      <c r="W244" s="72" t="str">
        <f aca="false">IF(OR(U244=0,N244=""), "", O244*ROUND(U244,0))</f>
        <v/>
      </c>
      <c r="X244" s="99" t="str">
        <f aca="false">IF(AND(N244="", U244&lt;&gt;""),"?",IF(AND(W244&lt;&gt;0,W244&lt;&gt;""), "р.", ""))</f>
        <v/>
      </c>
      <c r="Y244" s="70" t="str">
        <f aca="false">IF(AND(S244&gt;0,U244&gt;0), S244*ROUND(U244,0) / 1000, "")</f>
        <v/>
      </c>
      <c r="Z244" s="99" t="str">
        <f aca="false">IF(AND(Y244&lt;&gt;0,Y244&lt;&gt;""), "кг", "")</f>
        <v/>
      </c>
      <c r="AA244" s="10"/>
    </row>
    <row r="245" customFormat="false" ht="18.15" hidden="false" customHeight="true" outlineLevel="0" collapsed="false">
      <c r="B245" s="59"/>
      <c r="C245" s="62" t="str">
        <f aca="false">HYPERLINK("http://www.emi-penza.ru/p/348/", "57.3777-01-З")</f>
        <v>57.3777-01-З</v>
      </c>
      <c r="D245" s="63" t="s">
        <v>313</v>
      </c>
      <c r="E245" s="63"/>
      <c r="F245" s="63"/>
      <c r="G245" s="63" t="s">
        <v>309</v>
      </c>
      <c r="H245" s="63"/>
      <c r="I245" s="64" t="s">
        <v>310</v>
      </c>
      <c r="J245" s="64"/>
      <c r="K245" s="63" t="s">
        <v>315</v>
      </c>
      <c r="L245" s="63"/>
      <c r="M245" s="63"/>
      <c r="N245" s="65" t="n">
        <v>305</v>
      </c>
      <c r="O245" s="65" t="n">
        <f aca="false">ROUND(N245*1.2, 2)</f>
        <v>366</v>
      </c>
      <c r="R245" s="10"/>
      <c r="S245" s="66" t="n">
        <v>82</v>
      </c>
      <c r="T245" s="66"/>
      <c r="U245" s="67" t="n">
        <v>0</v>
      </c>
      <c r="V245" s="66"/>
      <c r="W245" s="72" t="str">
        <f aca="false">IF(OR(U245=0,N245=""), "", O245*ROUND(U245,0))</f>
        <v/>
      </c>
      <c r="X245" s="99" t="str">
        <f aca="false">IF(AND(N245="", U245&lt;&gt;""),"?",IF(AND(W245&lt;&gt;0,W245&lt;&gt;""), "р.", ""))</f>
        <v/>
      </c>
      <c r="Y245" s="70" t="str">
        <f aca="false">IF(AND(S245&gt;0,U245&gt;0), S245*ROUND(U245,0) / 1000, "")</f>
        <v/>
      </c>
      <c r="Z245" s="99" t="str">
        <f aca="false">IF(AND(Y245&lt;&gt;0,Y245&lt;&gt;""), "кг", "")</f>
        <v/>
      </c>
      <c r="AA245" s="10"/>
    </row>
    <row r="246" customFormat="false" ht="14.15" hidden="false" customHeight="true" outlineLevel="0" collapsed="false">
      <c r="B246" s="173"/>
      <c r="C246" s="74" t="str">
        <f aca="false">HYPERLINK("http://www.emi-penza.ru/p/349/", "57.3777-01 М")</f>
        <v>57.3777-01 М</v>
      </c>
      <c r="D246" s="75" t="s">
        <v>313</v>
      </c>
      <c r="E246" s="75"/>
      <c r="F246" s="75"/>
      <c r="G246" s="75" t="s">
        <v>309</v>
      </c>
      <c r="H246" s="75"/>
      <c r="I246" s="76" t="s">
        <v>310</v>
      </c>
      <c r="J246" s="76"/>
      <c r="K246" s="75" t="s">
        <v>314</v>
      </c>
      <c r="L246" s="75"/>
      <c r="M246" s="75"/>
      <c r="N246" s="77" t="n">
        <v>350</v>
      </c>
      <c r="O246" s="77" t="n">
        <f aca="false">ROUND(N246*1.2, 2)</f>
        <v>420</v>
      </c>
      <c r="R246" s="10"/>
      <c r="S246" s="78" t="n">
        <v>84</v>
      </c>
      <c r="T246" s="78"/>
      <c r="U246" s="79" t="n">
        <v>0</v>
      </c>
      <c r="V246" s="78"/>
      <c r="W246" s="80" t="str">
        <f aca="false">IF(OR(U246=0,N246=""), "", O246*ROUND(U246,0))</f>
        <v/>
      </c>
      <c r="X246" s="100" t="str">
        <f aca="false">IF(AND(N246="", U246&lt;&gt;""),"?",IF(AND(W246&lt;&gt;0,W246&lt;&gt;""), "р.", ""))</f>
        <v/>
      </c>
      <c r="Y246" s="82" t="str">
        <f aca="false">IF(AND(S246&gt;0,U246&gt;0), S246*ROUND(U246,0) / 1000, "")</f>
        <v/>
      </c>
      <c r="Z246" s="100" t="str">
        <f aca="false">IF(AND(Y246&lt;&gt;0,Y246&lt;&gt;""), "кг", "")</f>
        <v/>
      </c>
      <c r="AA246" s="10"/>
    </row>
    <row r="247" customFormat="false" ht="15" hidden="false" customHeight="true" outlineLevel="0" collapsed="false">
      <c r="B247" s="3"/>
      <c r="C247" s="85"/>
      <c r="D247" s="86"/>
      <c r="E247" s="86"/>
      <c r="F247" s="86"/>
      <c r="G247" s="86"/>
      <c r="H247" s="86"/>
      <c r="I247" s="87"/>
      <c r="J247" s="87"/>
      <c r="K247" s="86" t="s">
        <v>316</v>
      </c>
      <c r="L247" s="86"/>
      <c r="M247" s="86"/>
      <c r="N247" s="88"/>
      <c r="O247" s="88"/>
      <c r="R247" s="10"/>
      <c r="S247" s="89"/>
      <c r="T247" s="89"/>
      <c r="U247" s="90"/>
      <c r="V247" s="89"/>
      <c r="W247" s="91" t="str">
        <f aca="false">IF(OR(U247=0,N247=""), "", O247*ROUND(U247,0))</f>
        <v/>
      </c>
      <c r="X247" s="101" t="str">
        <f aca="false">IF(AND(N247="", U247&lt;&gt;""),"?",IF(AND(W247&lt;&gt;0,W247&lt;&gt;""), "р.", ""))</f>
        <v/>
      </c>
      <c r="Y247" s="93" t="str">
        <f aca="false">IF(AND(S247&gt;0,U247&gt;0), S247*ROUND(U247,0) / 1000, "")</f>
        <v/>
      </c>
      <c r="Z247" s="101" t="str">
        <f aca="false">IF(AND(Y247&lt;&gt;0,Y247&lt;&gt;""), "кг", "")</f>
        <v/>
      </c>
      <c r="AA247" s="10"/>
    </row>
    <row r="248" customFormat="false" ht="14.15" hidden="false" customHeight="true" outlineLevel="0" collapsed="false">
      <c r="B248" s="173"/>
      <c r="C248" s="74" t="str">
        <f aca="false">HYPERLINK("http://www.emi-penza.ru/p/327/", "57.3777-02")</f>
        <v>57.3777-02</v>
      </c>
      <c r="D248" s="75" t="s">
        <v>308</v>
      </c>
      <c r="E248" s="75"/>
      <c r="F248" s="75"/>
      <c r="G248" s="75" t="s">
        <v>309</v>
      </c>
      <c r="H248" s="75"/>
      <c r="I248" s="76" t="s">
        <v>310</v>
      </c>
      <c r="J248" s="76"/>
      <c r="K248" s="75" t="s">
        <v>317</v>
      </c>
      <c r="L248" s="75"/>
      <c r="M248" s="75"/>
      <c r="N248" s="77" t="n">
        <v>290</v>
      </c>
      <c r="O248" s="77" t="n">
        <f aca="false">ROUND(N248*1.2, 2)</f>
        <v>348</v>
      </c>
      <c r="R248" s="10"/>
      <c r="S248" s="78" t="n">
        <v>82</v>
      </c>
      <c r="T248" s="78"/>
      <c r="U248" s="79" t="n">
        <v>0</v>
      </c>
      <c r="V248" s="78"/>
      <c r="W248" s="80" t="str">
        <f aca="false">IF(OR(U248=0,N248=""), "", O248*ROUND(U248,0))</f>
        <v/>
      </c>
      <c r="X248" s="100" t="str">
        <f aca="false">IF(AND(N248="", U248&lt;&gt;""),"?",IF(AND(W248&lt;&gt;0,W248&lt;&gt;""), "р.", ""))</f>
        <v/>
      </c>
      <c r="Y248" s="82" t="str">
        <f aca="false">IF(AND(S248&gt;0,U248&gt;0), S248*ROUND(U248,0) / 1000, "")</f>
        <v/>
      </c>
      <c r="Z248" s="100" t="str">
        <f aca="false">IF(AND(Y248&lt;&gt;0,Y248&lt;&gt;""), "кг", "")</f>
        <v/>
      </c>
      <c r="AA248" s="10"/>
    </row>
    <row r="249" customFormat="false" ht="15" hidden="false" customHeight="true" outlineLevel="0" collapsed="false">
      <c r="B249" s="3"/>
      <c r="C249" s="85"/>
      <c r="D249" s="86"/>
      <c r="E249" s="86"/>
      <c r="F249" s="86"/>
      <c r="G249" s="86"/>
      <c r="H249" s="86"/>
      <c r="I249" s="87"/>
      <c r="J249" s="87"/>
      <c r="K249" s="86" t="s">
        <v>318</v>
      </c>
      <c r="L249" s="86"/>
      <c r="M249" s="86"/>
      <c r="N249" s="88"/>
      <c r="O249" s="88"/>
      <c r="R249" s="10"/>
      <c r="S249" s="89"/>
      <c r="T249" s="89"/>
      <c r="U249" s="90"/>
      <c r="V249" s="89"/>
      <c r="W249" s="91" t="str">
        <f aca="false">IF(OR(U249=0,N249=""), "", O249*ROUND(U249,0))</f>
        <v/>
      </c>
      <c r="X249" s="101" t="str">
        <f aca="false">IF(AND(N249="", U249&lt;&gt;""),"?",IF(AND(W249&lt;&gt;0,W249&lt;&gt;""), "р.", ""))</f>
        <v/>
      </c>
      <c r="Y249" s="93" t="str">
        <f aca="false">IF(AND(S249&gt;0,U249&gt;0), S249*ROUND(U249,0) / 1000, "")</f>
        <v/>
      </c>
      <c r="Z249" s="101" t="str">
        <f aca="false">IF(AND(Y249&lt;&gt;0,Y249&lt;&gt;""), "кг", "")</f>
        <v/>
      </c>
      <c r="AA249" s="10"/>
    </row>
    <row r="250" customFormat="false" ht="15" hidden="false" customHeight="true" outlineLevel="0" collapsed="false">
      <c r="B250" s="59"/>
      <c r="C250" s="62" t="str">
        <f aca="false">HYPERLINK("http://www.emi-penza.ru/p/362/", "57.3777-04")</f>
        <v>57.3777-04</v>
      </c>
      <c r="D250" s="63" t="s">
        <v>319</v>
      </c>
      <c r="E250" s="63"/>
      <c r="F250" s="63"/>
      <c r="G250" s="63" t="s">
        <v>309</v>
      </c>
      <c r="H250" s="63"/>
      <c r="I250" s="64" t="s">
        <v>310</v>
      </c>
      <c r="J250" s="64"/>
      <c r="K250" s="63" t="s">
        <v>320</v>
      </c>
      <c r="L250" s="63"/>
      <c r="M250" s="63"/>
      <c r="N250" s="65" t="n">
        <v>2550</v>
      </c>
      <c r="O250" s="65" t="n">
        <f aca="false">ROUND(N250*1.2, 2)</f>
        <v>3060</v>
      </c>
      <c r="R250" s="10"/>
      <c r="S250" s="66" t="n">
        <v>70</v>
      </c>
      <c r="T250" s="66"/>
      <c r="U250" s="67" t="n">
        <v>0</v>
      </c>
      <c r="V250" s="66"/>
      <c r="W250" s="72" t="str">
        <f aca="false">IF(OR(U250=0,N250=""), "", O250*ROUND(U250,0))</f>
        <v/>
      </c>
      <c r="X250" s="99" t="str">
        <f aca="false">IF(AND(N250="", U250&lt;&gt;""),"?",IF(AND(W250&lt;&gt;0,W250&lt;&gt;""), "р.", ""))</f>
        <v/>
      </c>
      <c r="Y250" s="70" t="str">
        <f aca="false">IF(AND(S250&gt;0,U250&gt;0), S250*ROUND(U250,0) / 1000, "")</f>
        <v/>
      </c>
      <c r="Z250" s="99" t="str">
        <f aca="false">IF(AND(Y250&lt;&gt;0,Y250&lt;&gt;""), "кг", "")</f>
        <v/>
      </c>
      <c r="AA250" s="10"/>
    </row>
    <row r="251" customFormat="false" ht="15" hidden="false" customHeight="true" outlineLevel="0" collapsed="false">
      <c r="B251" s="59"/>
      <c r="C251" s="62" t="str">
        <f aca="false">HYPERLINK("http://www.emi-penza.ru/p/357/", "57.3777-05")</f>
        <v>57.3777-05</v>
      </c>
      <c r="D251" s="174" t="s">
        <v>321</v>
      </c>
      <c r="E251" s="63"/>
      <c r="F251" s="63"/>
      <c r="G251" s="63" t="s">
        <v>309</v>
      </c>
      <c r="H251" s="63"/>
      <c r="I251" s="64" t="s">
        <v>310</v>
      </c>
      <c r="J251" s="64"/>
      <c r="K251" s="63" t="s">
        <v>320</v>
      </c>
      <c r="L251" s="63"/>
      <c r="M251" s="63"/>
      <c r="N251" s="65" t="n">
        <v>2550</v>
      </c>
      <c r="O251" s="65" t="n">
        <f aca="false">ROUND(N251*1.2, 2)</f>
        <v>3060</v>
      </c>
      <c r="R251" s="10"/>
      <c r="S251" s="66" t="n">
        <v>65</v>
      </c>
      <c r="T251" s="66"/>
      <c r="U251" s="67" t="n">
        <v>0</v>
      </c>
      <c r="V251" s="66"/>
      <c r="W251" s="72" t="str">
        <f aca="false">IF(OR(U251=0,N251=""), "", O251*ROUND(U251,0))</f>
        <v/>
      </c>
      <c r="X251" s="99" t="str">
        <f aca="false">IF(AND(N251="", U251&lt;&gt;""),"?",IF(AND(W251&lt;&gt;0,W251&lt;&gt;""), "р.", ""))</f>
        <v/>
      </c>
      <c r="Y251" s="70" t="str">
        <f aca="false">IF(AND(S251&gt;0,U251&gt;0), S251*ROUND(U251,0) / 1000, "")</f>
        <v/>
      </c>
      <c r="Z251" s="99" t="str">
        <f aca="false">IF(AND(Y251&lt;&gt;0,Y251&lt;&gt;""), "кг", "")</f>
        <v/>
      </c>
      <c r="AA251" s="10"/>
    </row>
    <row r="252" customFormat="false" ht="15" hidden="false" customHeight="true" outlineLevel="0" collapsed="false">
      <c r="B252" s="59"/>
      <c r="C252" s="62" t="str">
        <f aca="false">HYPERLINK("http://www.emi-penza.ru/p/363/", "57.3777-06")</f>
        <v>57.3777-06</v>
      </c>
      <c r="D252" s="63" t="s">
        <v>322</v>
      </c>
      <c r="E252" s="63"/>
      <c r="F252" s="63"/>
      <c r="G252" s="63" t="s">
        <v>309</v>
      </c>
      <c r="H252" s="63"/>
      <c r="I252" s="64" t="s">
        <v>310</v>
      </c>
      <c r="J252" s="64"/>
      <c r="K252" s="63" t="s">
        <v>320</v>
      </c>
      <c r="L252" s="63"/>
      <c r="M252" s="63"/>
      <c r="N252" s="65" t="n">
        <v>2550</v>
      </c>
      <c r="O252" s="65" t="n">
        <f aca="false">ROUND(N252*1.2, 2)</f>
        <v>3060</v>
      </c>
      <c r="R252" s="10"/>
      <c r="S252" s="66" t="n">
        <v>70</v>
      </c>
      <c r="T252" s="66"/>
      <c r="U252" s="67" t="n">
        <v>0</v>
      </c>
      <c r="V252" s="66"/>
      <c r="W252" s="72" t="str">
        <f aca="false">IF(OR(U252=0,N252=""), "", O252*ROUND(U252,0))</f>
        <v/>
      </c>
      <c r="X252" s="99" t="str">
        <f aca="false">IF(AND(N252="", U252&lt;&gt;""),"?",IF(AND(W252&lt;&gt;0,W252&lt;&gt;""), "р.", ""))</f>
        <v/>
      </c>
      <c r="Y252" s="70" t="str">
        <f aca="false">IF(AND(S252&gt;0,U252&gt;0), S252*ROUND(U252,0) / 1000, "")</f>
        <v/>
      </c>
      <c r="Z252" s="99" t="str">
        <f aca="false">IF(AND(Y252&lt;&gt;0,Y252&lt;&gt;""), "кг", "")</f>
        <v/>
      </c>
      <c r="AA252" s="10"/>
    </row>
    <row r="253" customFormat="false" ht="15" hidden="false" customHeight="true" outlineLevel="0" collapsed="false">
      <c r="B253" s="59"/>
      <c r="C253" s="62" t="str">
        <f aca="false">HYPERLINK("http://www.emi-penza.ru/p/358/", "57.3777-07")</f>
        <v>57.3777-07</v>
      </c>
      <c r="D253" s="63" t="s">
        <v>323</v>
      </c>
      <c r="E253" s="63"/>
      <c r="F253" s="63"/>
      <c r="G253" s="63" t="s">
        <v>309</v>
      </c>
      <c r="H253" s="63"/>
      <c r="I253" s="64" t="s">
        <v>310</v>
      </c>
      <c r="J253" s="64"/>
      <c r="K253" s="63" t="s">
        <v>320</v>
      </c>
      <c r="L253" s="63"/>
      <c r="M253" s="63"/>
      <c r="N253" s="65" t="n">
        <v>2550</v>
      </c>
      <c r="O253" s="65" t="n">
        <f aca="false">ROUND(N253*1.2, 2)</f>
        <v>3060</v>
      </c>
      <c r="R253" s="10"/>
      <c r="S253" s="66" t="n">
        <v>65</v>
      </c>
      <c r="T253" s="66"/>
      <c r="U253" s="67" t="n">
        <v>0</v>
      </c>
      <c r="V253" s="66"/>
      <c r="W253" s="72" t="str">
        <f aca="false">IF(OR(U253=0,N253=""), "", O253*ROUND(U253,0))</f>
        <v/>
      </c>
      <c r="X253" s="99" t="str">
        <f aca="false">IF(AND(N253="", U253&lt;&gt;""),"?",IF(AND(W253&lt;&gt;0,W253&lt;&gt;""), "р.", ""))</f>
        <v/>
      </c>
      <c r="Y253" s="70" t="str">
        <f aca="false">IF(AND(S253&gt;0,U253&gt;0), S253*ROUND(U253,0) / 1000, "")</f>
        <v/>
      </c>
      <c r="Z253" s="99" t="str">
        <f aca="false">IF(AND(Y253&lt;&gt;0,Y253&lt;&gt;""), "кг", "")</f>
        <v/>
      </c>
      <c r="AA253" s="10"/>
    </row>
    <row r="254" customFormat="false" ht="18.15" hidden="false" customHeight="true" outlineLevel="0" collapsed="false">
      <c r="B254" s="59"/>
      <c r="C254" s="62" t="str">
        <f aca="false">HYPERLINK("http://www.emi-penza.ru/p/331/", "59.3787")</f>
        <v>59.3787</v>
      </c>
      <c r="D254" s="63" t="s">
        <v>324</v>
      </c>
      <c r="E254" s="63"/>
      <c r="F254" s="63"/>
      <c r="G254" s="63" t="s">
        <v>309</v>
      </c>
      <c r="H254" s="63"/>
      <c r="I254" s="64" t="s">
        <v>310</v>
      </c>
      <c r="J254" s="64"/>
      <c r="K254" s="63" t="s">
        <v>325</v>
      </c>
      <c r="L254" s="63"/>
      <c r="M254" s="63"/>
      <c r="N254" s="65" t="n">
        <v>505</v>
      </c>
      <c r="O254" s="65" t="n">
        <f aca="false">ROUND(N254*1.2, 2)</f>
        <v>606</v>
      </c>
      <c r="R254" s="10"/>
      <c r="S254" s="66" t="n">
        <v>24</v>
      </c>
      <c r="T254" s="66"/>
      <c r="U254" s="67" t="n">
        <v>0</v>
      </c>
      <c r="V254" s="66"/>
      <c r="W254" s="72" t="str">
        <f aca="false">IF(OR(U254=0,N254=""), "", O254*ROUND(U254,0))</f>
        <v/>
      </c>
      <c r="X254" s="99" t="str">
        <f aca="false">IF(AND(N254="", U254&lt;&gt;""),"?",IF(AND(W254&lt;&gt;0,W254&lt;&gt;""), "р.", ""))</f>
        <v/>
      </c>
      <c r="Y254" s="70" t="str">
        <f aca="false">IF(AND(S254&gt;0,U254&gt;0), S254*ROUND(U254,0) / 1000, "")</f>
        <v/>
      </c>
      <c r="Z254" s="99" t="str">
        <f aca="false">IF(AND(Y254&lt;&gt;0,Y254&lt;&gt;""), "кг", "")</f>
        <v/>
      </c>
      <c r="AA254" s="10"/>
    </row>
    <row r="255" customFormat="false" ht="18.15" hidden="false" customHeight="true" outlineLevel="0" collapsed="false">
      <c r="B255" s="59"/>
      <c r="C255" s="62" t="str">
        <f aca="false">HYPERLINK("http://www.emi-penza.ru/p/352/", "64.3777")</f>
        <v>64.3777</v>
      </c>
      <c r="D255" s="63" t="s">
        <v>326</v>
      </c>
      <c r="E255" s="63"/>
      <c r="F255" s="63"/>
      <c r="G255" s="63" t="s">
        <v>309</v>
      </c>
      <c r="H255" s="63"/>
      <c r="I255" s="64" t="s">
        <v>327</v>
      </c>
      <c r="J255" s="64"/>
      <c r="K255" s="63" t="s">
        <v>328</v>
      </c>
      <c r="L255" s="63"/>
      <c r="M255" s="63"/>
      <c r="N255" s="65" t="n">
        <v>138</v>
      </c>
      <c r="O255" s="65" t="n">
        <f aca="false">ROUND(N255*1.2, 2)</f>
        <v>165.6</v>
      </c>
      <c r="R255" s="10"/>
      <c r="S255" s="66" t="n">
        <v>25</v>
      </c>
      <c r="T255" s="66"/>
      <c r="U255" s="67" t="n">
        <v>0</v>
      </c>
      <c r="V255" s="66"/>
      <c r="W255" s="72" t="str">
        <f aca="false">IF(OR(U255=0,N255=""), "", O255*ROUND(U255,0))</f>
        <v/>
      </c>
      <c r="X255" s="99" t="str">
        <f aca="false">IF(AND(N255="", U255&lt;&gt;""),"?",IF(AND(W255&lt;&gt;0,W255&lt;&gt;""), "р.", ""))</f>
        <v/>
      </c>
      <c r="Y255" s="70" t="str">
        <f aca="false">IF(AND(S255&gt;0,U255&gt;0), S255*ROUND(U255,0) / 1000, "")</f>
        <v/>
      </c>
      <c r="Z255" s="99" t="str">
        <f aca="false">IF(AND(Y255&lt;&gt;0,Y255&lt;&gt;""), "кг", "")</f>
        <v/>
      </c>
      <c r="AA255" s="10"/>
    </row>
    <row r="256" customFormat="false" ht="18.15" hidden="false" customHeight="true" outlineLevel="0" collapsed="false">
      <c r="B256" s="59"/>
      <c r="C256" s="127" t="str">
        <f aca="false">HYPERLINK("http://www.emi-penza.ru/p/343/", "68.3787")</f>
        <v>68.3787</v>
      </c>
      <c r="D256" s="128" t="s">
        <v>329</v>
      </c>
      <c r="E256" s="128"/>
      <c r="F256" s="128"/>
      <c r="G256" s="128" t="s">
        <v>309</v>
      </c>
      <c r="H256" s="128"/>
      <c r="I256" s="129" t="s">
        <v>327</v>
      </c>
      <c r="J256" s="129"/>
      <c r="K256" s="128" t="s">
        <v>330</v>
      </c>
      <c r="L256" s="128"/>
      <c r="M256" s="128"/>
      <c r="N256" s="130" t="n">
        <v>299</v>
      </c>
      <c r="O256" s="130" t="n">
        <f aca="false">ROUND(N256*1.2, 2)</f>
        <v>358.8</v>
      </c>
      <c r="R256" s="10"/>
      <c r="S256" s="131" t="n">
        <v>45</v>
      </c>
      <c r="T256" s="131"/>
      <c r="U256" s="132" t="n">
        <v>0</v>
      </c>
      <c r="V256" s="131"/>
      <c r="W256" s="133" t="str">
        <f aca="false">IF(OR(U256=0,N256=""), "", O256*ROUND(U256,0))</f>
        <v/>
      </c>
      <c r="X256" s="134" t="str">
        <f aca="false">IF(AND(N256="", U256&lt;&gt;""),"?",IF(AND(W256&lt;&gt;0,W256&lt;&gt;""), "р.", ""))</f>
        <v/>
      </c>
      <c r="Y256" s="135" t="str">
        <f aca="false">IF(AND(S256&gt;0,U256&gt;0), S256*ROUND(U256,0) / 1000, "")</f>
        <v/>
      </c>
      <c r="Z256" s="134" t="str">
        <f aca="false">IF(AND(Y256&lt;&gt;0,Y256&lt;&gt;""), "кг", "")</f>
        <v/>
      </c>
      <c r="AA256" s="10"/>
    </row>
    <row r="257" customFormat="false" ht="14.15" hidden="false" customHeight="true" outlineLevel="0" collapsed="false">
      <c r="B257" s="173"/>
      <c r="C257" s="74" t="str">
        <f aca="false">HYPERLINK("http://www.emi-penza.ru/p/303/", "571.3777")</f>
        <v>571.3777</v>
      </c>
      <c r="D257" s="75" t="s">
        <v>331</v>
      </c>
      <c r="E257" s="75"/>
      <c r="F257" s="75"/>
      <c r="G257" s="75" t="s">
        <v>309</v>
      </c>
      <c r="H257" s="75"/>
      <c r="I257" s="76" t="s">
        <v>327</v>
      </c>
      <c r="J257" s="76"/>
      <c r="K257" s="75" t="s">
        <v>332</v>
      </c>
      <c r="L257" s="75"/>
      <c r="M257" s="75"/>
      <c r="N257" s="77" t="n">
        <v>210</v>
      </c>
      <c r="O257" s="77" t="n">
        <f aca="false">ROUND(N257*1.2, 2)</f>
        <v>252</v>
      </c>
      <c r="R257" s="10"/>
      <c r="S257" s="78" t="n">
        <v>77</v>
      </c>
      <c r="T257" s="78"/>
      <c r="U257" s="79" t="n">
        <v>0</v>
      </c>
      <c r="V257" s="78"/>
      <c r="W257" s="80" t="str">
        <f aca="false">IF(OR(U257=0,N257=""), "", O257*ROUND(U257,0))</f>
        <v/>
      </c>
      <c r="X257" s="100" t="str">
        <f aca="false">IF(AND(N257="", U257&lt;&gt;""),"?",IF(AND(W257&lt;&gt;0,W257&lt;&gt;""), "р.", ""))</f>
        <v/>
      </c>
      <c r="Y257" s="82" t="str">
        <f aca="false">IF(AND(S257&gt;0,U257&gt;0), S257*ROUND(U257,0) / 1000, "")</f>
        <v/>
      </c>
      <c r="Z257" s="100" t="str">
        <f aca="false">IF(AND(Y257&lt;&gt;0,Y257&lt;&gt;""), "кг", "")</f>
        <v/>
      </c>
      <c r="AA257" s="10"/>
    </row>
    <row r="258" customFormat="false" ht="15" hidden="false" customHeight="true" outlineLevel="0" collapsed="false">
      <c r="B258" s="3"/>
      <c r="C258" s="85"/>
      <c r="D258" s="86"/>
      <c r="E258" s="86"/>
      <c r="F258" s="86"/>
      <c r="G258" s="86"/>
      <c r="H258" s="86"/>
      <c r="I258" s="87"/>
      <c r="J258" s="87"/>
      <c r="K258" s="86"/>
      <c r="L258" s="86"/>
      <c r="M258" s="171" t="s">
        <v>249</v>
      </c>
      <c r="N258" s="88" t="n">
        <v>220</v>
      </c>
      <c r="O258" s="88" t="n">
        <f aca="false">ROUND(N258*1.2, 2)</f>
        <v>264</v>
      </c>
      <c r="R258" s="10"/>
      <c r="S258" s="89" t="n">
        <v>92</v>
      </c>
      <c r="T258" s="89"/>
      <c r="U258" s="90" t="n">
        <v>0</v>
      </c>
      <c r="V258" s="89"/>
      <c r="W258" s="91" t="str">
        <f aca="false">IF(OR(U258=0,N258=""), "", O258*ROUND(U258,0))</f>
        <v/>
      </c>
      <c r="X258" s="101" t="str">
        <f aca="false">IF(AND(N258="", U258&lt;&gt;""),"?",IF(AND(W258&lt;&gt;0,W258&lt;&gt;""), "р.", ""))</f>
        <v/>
      </c>
      <c r="Y258" s="93" t="str">
        <f aca="false">IF(AND(S258&gt;0,U258&gt;0), S258*ROUND(U258,0) / 1000, "")</f>
        <v/>
      </c>
      <c r="Z258" s="101" t="str">
        <f aca="false">IF(AND(Y258&lt;&gt;0,Y258&lt;&gt;""), "кг", "")</f>
        <v/>
      </c>
      <c r="AA258" s="10"/>
    </row>
    <row r="259" customFormat="false" ht="14.15" hidden="false" customHeight="true" outlineLevel="0" collapsed="false">
      <c r="B259" s="173"/>
      <c r="C259" s="74" t="str">
        <f aca="false">HYPERLINK("http://www.emi-penza.ru/p/304/", "572.3777")</f>
        <v>572.3777</v>
      </c>
      <c r="D259" s="75" t="s">
        <v>333</v>
      </c>
      <c r="E259" s="75"/>
      <c r="F259" s="75"/>
      <c r="G259" s="75" t="s">
        <v>309</v>
      </c>
      <c r="H259" s="75"/>
      <c r="I259" s="76" t="s">
        <v>327</v>
      </c>
      <c r="J259" s="76"/>
      <c r="K259" s="75" t="s">
        <v>334</v>
      </c>
      <c r="L259" s="75"/>
      <c r="M259" s="75"/>
      <c r="N259" s="77" t="n">
        <v>210</v>
      </c>
      <c r="O259" s="77" t="n">
        <f aca="false">ROUND(N259*1.2, 2)</f>
        <v>252</v>
      </c>
      <c r="R259" s="10"/>
      <c r="S259" s="78" t="n">
        <v>77</v>
      </c>
      <c r="T259" s="78"/>
      <c r="U259" s="79" t="n">
        <v>0</v>
      </c>
      <c r="V259" s="78"/>
      <c r="W259" s="80" t="str">
        <f aca="false">IF(OR(U259=0,N259=""), "", O259*ROUND(U259,0))</f>
        <v/>
      </c>
      <c r="X259" s="100" t="str">
        <f aca="false">IF(AND(N259="", U259&lt;&gt;""),"?",IF(AND(W259&lt;&gt;0,W259&lt;&gt;""), "р.", ""))</f>
        <v/>
      </c>
      <c r="Y259" s="82" t="str">
        <f aca="false">IF(AND(S259&gt;0,U259&gt;0), S259*ROUND(U259,0) / 1000, "")</f>
        <v/>
      </c>
      <c r="Z259" s="100" t="str">
        <f aca="false">IF(AND(Y259&lt;&gt;0,Y259&lt;&gt;""), "кг", "")</f>
        <v/>
      </c>
      <c r="AA259" s="10"/>
    </row>
    <row r="260" customFormat="false" ht="15" hidden="false" customHeight="true" outlineLevel="0" collapsed="false">
      <c r="B260" s="3"/>
      <c r="C260" s="85"/>
      <c r="D260" s="86"/>
      <c r="E260" s="86"/>
      <c r="F260" s="86"/>
      <c r="G260" s="86"/>
      <c r="H260" s="86"/>
      <c r="I260" s="87"/>
      <c r="J260" s="87"/>
      <c r="K260" s="86" t="s">
        <v>335</v>
      </c>
      <c r="L260" s="86"/>
      <c r="M260" s="171" t="s">
        <v>249</v>
      </c>
      <c r="N260" s="88" t="n">
        <v>220</v>
      </c>
      <c r="O260" s="88" t="n">
        <f aca="false">ROUND(N260*1.2, 2)</f>
        <v>264</v>
      </c>
      <c r="R260" s="10"/>
      <c r="S260" s="89" t="n">
        <v>92</v>
      </c>
      <c r="T260" s="89"/>
      <c r="U260" s="90" t="n">
        <v>0</v>
      </c>
      <c r="V260" s="89"/>
      <c r="W260" s="91" t="str">
        <f aca="false">IF(OR(U260=0,N260=""), "", O260*ROUND(U260,0))</f>
        <v/>
      </c>
      <c r="X260" s="101" t="str">
        <f aca="false">IF(AND(N260="", U260&lt;&gt;""),"?",IF(AND(W260&lt;&gt;0,W260&lt;&gt;""), "р.", ""))</f>
        <v/>
      </c>
      <c r="Y260" s="93" t="str">
        <f aca="false">IF(AND(S260&gt;0,U260&gt;0), S260*ROUND(U260,0) / 1000, "")</f>
        <v/>
      </c>
      <c r="Z260" s="101" t="str">
        <f aca="false">IF(AND(Y260&lt;&gt;0,Y260&lt;&gt;""), "кг", "")</f>
        <v/>
      </c>
      <c r="AA260" s="10"/>
    </row>
    <row r="261" customFormat="false" ht="18.15" hidden="false" customHeight="true" outlineLevel="0" collapsed="false">
      <c r="B261" s="59"/>
      <c r="C261" s="62" t="str">
        <f aca="false">HYPERLINK("http://www.emi-penza.ru/p/306/", "573.3777")</f>
        <v>573.3777</v>
      </c>
      <c r="D261" s="63" t="s">
        <v>336</v>
      </c>
      <c r="E261" s="63"/>
      <c r="F261" s="63"/>
      <c r="G261" s="63" t="s">
        <v>309</v>
      </c>
      <c r="H261" s="63"/>
      <c r="I261" s="64" t="s">
        <v>327</v>
      </c>
      <c r="J261" s="64"/>
      <c r="K261" s="63" t="s">
        <v>337</v>
      </c>
      <c r="L261" s="63"/>
      <c r="M261" s="63"/>
      <c r="N261" s="65" t="n">
        <v>210</v>
      </c>
      <c r="O261" s="65" t="n">
        <f aca="false">ROUND(N261*1.2, 2)</f>
        <v>252</v>
      </c>
      <c r="R261" s="10"/>
      <c r="S261" s="66" t="n">
        <v>77</v>
      </c>
      <c r="T261" s="66"/>
      <c r="U261" s="67" t="n">
        <v>0</v>
      </c>
      <c r="V261" s="66"/>
      <c r="W261" s="72" t="str">
        <f aca="false">IF(OR(U261=0,N261=""), "", O261*ROUND(U261,0))</f>
        <v/>
      </c>
      <c r="X261" s="99" t="str">
        <f aca="false">IF(AND(N261="", U261&lt;&gt;""),"?",IF(AND(W261&lt;&gt;0,W261&lt;&gt;""), "р.", ""))</f>
        <v/>
      </c>
      <c r="Y261" s="70" t="str">
        <f aca="false">IF(AND(S261&gt;0,U261&gt;0), S261*ROUND(U261,0) / 1000, "")</f>
        <v/>
      </c>
      <c r="Z261" s="99" t="str">
        <f aca="false">IF(AND(Y261&lt;&gt;0,Y261&lt;&gt;""), "кг", "")</f>
        <v/>
      </c>
      <c r="AA261" s="10"/>
    </row>
    <row r="262" customFormat="false" ht="18.15" hidden="false" customHeight="true" outlineLevel="0" collapsed="false">
      <c r="B262" s="59"/>
      <c r="C262" s="62" t="str">
        <f aca="false">HYPERLINK("http://www.emi-penza.ru/p/305/", "574.3777")</f>
        <v>574.3777</v>
      </c>
      <c r="D262" s="63" t="s">
        <v>338</v>
      </c>
      <c r="E262" s="63"/>
      <c r="F262" s="63"/>
      <c r="G262" s="63" t="s">
        <v>309</v>
      </c>
      <c r="H262" s="63"/>
      <c r="I262" s="64" t="s">
        <v>327</v>
      </c>
      <c r="J262" s="64"/>
      <c r="K262" s="63" t="s">
        <v>339</v>
      </c>
      <c r="L262" s="63"/>
      <c r="M262" s="63"/>
      <c r="N262" s="65" t="n">
        <v>210</v>
      </c>
      <c r="O262" s="65" t="n">
        <f aca="false">ROUND(N262*1.2, 2)</f>
        <v>252</v>
      </c>
      <c r="R262" s="10"/>
      <c r="S262" s="66" t="n">
        <v>93</v>
      </c>
      <c r="T262" s="66"/>
      <c r="U262" s="67" t="n">
        <v>0</v>
      </c>
      <c r="V262" s="66"/>
      <c r="W262" s="72" t="str">
        <f aca="false">IF(OR(U262=0,N262=""), "", O262*ROUND(U262,0))</f>
        <v/>
      </c>
      <c r="X262" s="99" t="str">
        <f aca="false">IF(AND(N262="", U262&lt;&gt;""),"?",IF(AND(W262&lt;&gt;0,W262&lt;&gt;""), "р.", ""))</f>
        <v/>
      </c>
      <c r="Y262" s="70" t="str">
        <f aca="false">IF(AND(S262&gt;0,U262&gt;0), S262*ROUND(U262,0) / 1000, "")</f>
        <v/>
      </c>
      <c r="Z262" s="99" t="str">
        <f aca="false">IF(AND(Y262&lt;&gt;0,Y262&lt;&gt;""), "кг", "")</f>
        <v/>
      </c>
      <c r="AA262" s="10"/>
    </row>
    <row r="263" customFormat="false" ht="14.15" hidden="false" customHeight="true" outlineLevel="0" collapsed="false">
      <c r="B263" s="173"/>
      <c r="C263" s="74" t="str">
        <f aca="false">HYPERLINK("http://www.emi-penza.ru/p/307/", "575.3777")</f>
        <v>575.3777</v>
      </c>
      <c r="D263" s="75" t="s">
        <v>340</v>
      </c>
      <c r="E263" s="75"/>
      <c r="F263" s="75"/>
      <c r="G263" s="75" t="s">
        <v>309</v>
      </c>
      <c r="H263" s="75"/>
      <c r="I263" s="76" t="s">
        <v>327</v>
      </c>
      <c r="J263" s="76"/>
      <c r="K263" s="75" t="s">
        <v>341</v>
      </c>
      <c r="L263" s="75"/>
      <c r="M263" s="75"/>
      <c r="N263" s="77" t="n">
        <v>289</v>
      </c>
      <c r="O263" s="77" t="n">
        <f aca="false">ROUND(N263*1.2, 2)</f>
        <v>346.8</v>
      </c>
      <c r="R263" s="10"/>
      <c r="S263" s="78" t="n">
        <v>107</v>
      </c>
      <c r="T263" s="78"/>
      <c r="U263" s="79" t="n">
        <v>0</v>
      </c>
      <c r="V263" s="78"/>
      <c r="W263" s="80" t="str">
        <f aca="false">IF(OR(U263=0,N263=""), "", O263*ROUND(U263,0))</f>
        <v/>
      </c>
      <c r="X263" s="100" t="str">
        <f aca="false">IF(AND(N263="", U263&lt;&gt;""),"?",IF(AND(W263&lt;&gt;0,W263&lt;&gt;""), "р.", ""))</f>
        <v/>
      </c>
      <c r="Y263" s="82" t="str">
        <f aca="false">IF(AND(S263&gt;0,U263&gt;0), S263*ROUND(U263,0) / 1000, "")</f>
        <v/>
      </c>
      <c r="Z263" s="100" t="str">
        <f aca="false">IF(AND(Y263&lt;&gt;0,Y263&lt;&gt;""), "кг", "")</f>
        <v/>
      </c>
      <c r="AA263" s="10"/>
    </row>
    <row r="264" customFormat="false" ht="15" hidden="false" customHeight="true" outlineLevel="0" collapsed="false">
      <c r="B264" s="3"/>
      <c r="C264" s="85"/>
      <c r="D264" s="86"/>
      <c r="E264" s="86"/>
      <c r="F264" s="86"/>
      <c r="G264" s="86"/>
      <c r="H264" s="86"/>
      <c r="I264" s="87"/>
      <c r="J264" s="87"/>
      <c r="K264" s="86" t="s">
        <v>342</v>
      </c>
      <c r="L264" s="86"/>
      <c r="M264" s="86"/>
      <c r="N264" s="88"/>
      <c r="O264" s="88"/>
      <c r="R264" s="10"/>
      <c r="S264" s="89"/>
      <c r="T264" s="89"/>
      <c r="U264" s="90"/>
      <c r="V264" s="89"/>
      <c r="W264" s="91" t="str">
        <f aca="false">IF(OR(U264=0,N264=""), "", O264*ROUND(U264,0))</f>
        <v/>
      </c>
      <c r="X264" s="101" t="str">
        <f aca="false">IF(AND(N264="", U264&lt;&gt;""),"?",IF(AND(W264&lt;&gt;0,W264&lt;&gt;""), "р.", ""))</f>
        <v/>
      </c>
      <c r="Y264" s="93" t="str">
        <f aca="false">IF(AND(S264&gt;0,U264&gt;0), S264*ROUND(U264,0) / 1000, "")</f>
        <v/>
      </c>
      <c r="Z264" s="101" t="str">
        <f aca="false">IF(AND(Y264&lt;&gt;0,Y264&lt;&gt;""), "кг", "")</f>
        <v/>
      </c>
      <c r="AA264" s="10"/>
    </row>
    <row r="265" customFormat="false" ht="14.15" hidden="false" customHeight="true" outlineLevel="0" collapsed="false">
      <c r="B265" s="173"/>
      <c r="C265" s="74" t="str">
        <f aca="false">HYPERLINK("http://www.emi-penza.ru/p/321/", "575.3777-01")</f>
        <v>575.3777-01</v>
      </c>
      <c r="D265" s="75"/>
      <c r="E265" s="75"/>
      <c r="F265" s="75"/>
      <c r="G265" s="75" t="s">
        <v>309</v>
      </c>
      <c r="H265" s="75"/>
      <c r="I265" s="76" t="s">
        <v>310</v>
      </c>
      <c r="J265" s="76"/>
      <c r="K265" s="75" t="s">
        <v>341</v>
      </c>
      <c r="L265" s="75"/>
      <c r="M265" s="75"/>
      <c r="N265" s="77" t="n">
        <v>320</v>
      </c>
      <c r="O265" s="77" t="n">
        <f aca="false">ROUND(N265*1.2, 2)</f>
        <v>384</v>
      </c>
      <c r="R265" s="10"/>
      <c r="S265" s="78" t="n">
        <v>107</v>
      </c>
      <c r="T265" s="78"/>
      <c r="U265" s="79" t="n">
        <v>0</v>
      </c>
      <c r="V265" s="78"/>
      <c r="W265" s="80" t="str">
        <f aca="false">IF(OR(U265=0,N265=""), "", O265*ROUND(U265,0))</f>
        <v/>
      </c>
      <c r="X265" s="100" t="str">
        <f aca="false">IF(AND(N265="", U265&lt;&gt;""),"?",IF(AND(W265&lt;&gt;0,W265&lt;&gt;""), "р.", ""))</f>
        <v/>
      </c>
      <c r="Y265" s="82" t="str">
        <f aca="false">IF(AND(S265&gt;0,U265&gt;0), S265*ROUND(U265,0) / 1000, "")</f>
        <v/>
      </c>
      <c r="Z265" s="100" t="str">
        <f aca="false">IF(AND(Y265&lt;&gt;0,Y265&lt;&gt;""), "кг", "")</f>
        <v/>
      </c>
      <c r="AA265" s="10"/>
    </row>
    <row r="266" customFormat="false" ht="15" hidden="false" customHeight="true" outlineLevel="0" collapsed="false">
      <c r="B266" s="3"/>
      <c r="C266" s="85"/>
      <c r="D266" s="86"/>
      <c r="E266" s="86"/>
      <c r="F266" s="86"/>
      <c r="G266" s="86"/>
      <c r="H266" s="86"/>
      <c r="I266" s="87"/>
      <c r="J266" s="87"/>
      <c r="K266" s="86" t="s">
        <v>343</v>
      </c>
      <c r="L266" s="86"/>
      <c r="M266" s="86"/>
      <c r="N266" s="88"/>
      <c r="O266" s="88"/>
      <c r="R266" s="10"/>
      <c r="S266" s="89"/>
      <c r="T266" s="89"/>
      <c r="U266" s="90"/>
      <c r="V266" s="89"/>
      <c r="W266" s="91" t="str">
        <f aca="false">IF(OR(U266=0,N266=""), "", O266*ROUND(U266,0))</f>
        <v/>
      </c>
      <c r="X266" s="101" t="str">
        <f aca="false">IF(AND(N266="", U266&lt;&gt;""),"?",IF(AND(W266&lt;&gt;0,W266&lt;&gt;""), "р.", ""))</f>
        <v/>
      </c>
      <c r="Y266" s="93" t="str">
        <f aca="false">IF(AND(S266&gt;0,U266&gt;0), S266*ROUND(U266,0) / 1000, "")</f>
        <v/>
      </c>
      <c r="Z266" s="101" t="str">
        <f aca="false">IF(AND(Y266&lt;&gt;0,Y266&lt;&gt;""), "кг", "")</f>
        <v/>
      </c>
      <c r="AA266" s="10"/>
    </row>
    <row r="267" customFormat="false" ht="14.15" hidden="false" customHeight="true" outlineLevel="0" collapsed="false">
      <c r="B267" s="173"/>
      <c r="C267" s="74" t="str">
        <f aca="false">HYPERLINK("http://www.emi-penza.ru/p/319/", "575.3777-02")</f>
        <v>575.3777-02</v>
      </c>
      <c r="D267" s="75"/>
      <c r="E267" s="75"/>
      <c r="F267" s="75"/>
      <c r="G267" s="75" t="s">
        <v>309</v>
      </c>
      <c r="H267" s="75"/>
      <c r="I267" s="76" t="s">
        <v>327</v>
      </c>
      <c r="J267" s="76"/>
      <c r="K267" s="75" t="s">
        <v>344</v>
      </c>
      <c r="L267" s="75"/>
      <c r="M267" s="75"/>
      <c r="N267" s="77" t="n">
        <v>500</v>
      </c>
      <c r="O267" s="77" t="n">
        <f aca="false">ROUND(N267*1.2, 2)</f>
        <v>600</v>
      </c>
      <c r="R267" s="10"/>
      <c r="S267" s="78" t="n">
        <v>107</v>
      </c>
      <c r="T267" s="78"/>
      <c r="U267" s="79" t="n">
        <v>0</v>
      </c>
      <c r="V267" s="78"/>
      <c r="W267" s="80" t="str">
        <f aca="false">IF(OR(U267=0,N267=""), "", O267*ROUND(U267,0))</f>
        <v/>
      </c>
      <c r="X267" s="100" t="str">
        <f aca="false">IF(AND(N267="", U267&lt;&gt;""),"?",IF(AND(W267&lt;&gt;0,W267&lt;&gt;""), "р.", ""))</f>
        <v/>
      </c>
      <c r="Y267" s="82" t="str">
        <f aca="false">IF(AND(S267&gt;0,U267&gt;0), S267*ROUND(U267,0) / 1000, "")</f>
        <v/>
      </c>
      <c r="Z267" s="100" t="str">
        <f aca="false">IF(AND(Y267&lt;&gt;0,Y267&lt;&gt;""), "кг", "")</f>
        <v/>
      </c>
      <c r="AA267" s="10"/>
    </row>
    <row r="268" customFormat="false" ht="15" hidden="false" customHeight="true" outlineLevel="0" collapsed="false">
      <c r="B268" s="3"/>
      <c r="C268" s="85"/>
      <c r="D268" s="86"/>
      <c r="E268" s="86"/>
      <c r="F268" s="86"/>
      <c r="G268" s="86" t="s">
        <v>263</v>
      </c>
      <c r="H268" s="86"/>
      <c r="I268" s="87"/>
      <c r="J268" s="87"/>
      <c r="K268" s="86" t="s">
        <v>345</v>
      </c>
      <c r="L268" s="86"/>
      <c r="M268" s="86"/>
      <c r="N268" s="88"/>
      <c r="O268" s="88"/>
      <c r="R268" s="10"/>
      <c r="S268" s="89"/>
      <c r="T268" s="89"/>
      <c r="U268" s="90"/>
      <c r="V268" s="89"/>
      <c r="W268" s="91" t="str">
        <f aca="false">IF(OR(U268=0,N268=""), "", O268*ROUND(U268,0))</f>
        <v/>
      </c>
      <c r="X268" s="101" t="str">
        <f aca="false">IF(AND(N268="", U268&lt;&gt;""),"?",IF(AND(W268&lt;&gt;0,W268&lt;&gt;""), "р.", ""))</f>
        <v/>
      </c>
      <c r="Y268" s="93" t="str">
        <f aca="false">IF(AND(S268&gt;0,U268&gt;0), S268*ROUND(U268,0) / 1000, "")</f>
        <v/>
      </c>
      <c r="Z268" s="101" t="str">
        <f aca="false">IF(AND(Y268&lt;&gt;0,Y268&lt;&gt;""), "кг", "")</f>
        <v/>
      </c>
      <c r="AA268" s="10"/>
    </row>
    <row r="269" customFormat="false" ht="14.15" hidden="false" customHeight="true" outlineLevel="0" collapsed="false">
      <c r="B269" s="173"/>
      <c r="C269" s="74" t="str">
        <f aca="false">HYPERLINK("http://www.emi-penza.ru/p/353/", "641.3777")</f>
        <v>641.3777</v>
      </c>
      <c r="D269" s="75" t="s">
        <v>346</v>
      </c>
      <c r="E269" s="75"/>
      <c r="F269" s="75"/>
      <c r="G269" s="75" t="s">
        <v>309</v>
      </c>
      <c r="H269" s="75"/>
      <c r="I269" s="76" t="s">
        <v>327</v>
      </c>
      <c r="J269" s="76"/>
      <c r="K269" s="75" t="s">
        <v>347</v>
      </c>
      <c r="L269" s="75"/>
      <c r="M269" s="75"/>
      <c r="N269" s="77" t="n">
        <v>139</v>
      </c>
      <c r="O269" s="77" t="n">
        <f aca="false">ROUND(N269*1.2, 2)</f>
        <v>166.8</v>
      </c>
      <c r="R269" s="10"/>
      <c r="S269" s="78" t="n">
        <v>25</v>
      </c>
      <c r="T269" s="78"/>
      <c r="U269" s="79" t="n">
        <v>0</v>
      </c>
      <c r="V269" s="78"/>
      <c r="W269" s="80" t="str">
        <f aca="false">IF(OR(U269=0,N269=""), "", O269*ROUND(U269,0))</f>
        <v/>
      </c>
      <c r="X269" s="100" t="str">
        <f aca="false">IF(AND(N269="", U269&lt;&gt;""),"?",IF(AND(W269&lt;&gt;0,W269&lt;&gt;""), "р.", ""))</f>
        <v/>
      </c>
      <c r="Y269" s="82" t="str">
        <f aca="false">IF(AND(S269&gt;0,U269&gt;0), S269*ROUND(U269,0) / 1000, "")</f>
        <v/>
      </c>
      <c r="Z269" s="100" t="str">
        <f aca="false">IF(AND(Y269&lt;&gt;0,Y269&lt;&gt;""), "кг", "")</f>
        <v/>
      </c>
      <c r="AA269" s="10"/>
    </row>
    <row r="270" customFormat="false" ht="15" hidden="false" customHeight="true" outlineLevel="0" collapsed="false">
      <c r="B270" s="3"/>
      <c r="C270" s="85"/>
      <c r="D270" s="86" t="s">
        <v>348</v>
      </c>
      <c r="E270" s="86"/>
      <c r="F270" s="86"/>
      <c r="G270" s="86"/>
      <c r="H270" s="86"/>
      <c r="I270" s="87"/>
      <c r="J270" s="87"/>
      <c r="K270" s="86"/>
      <c r="L270" s="86"/>
      <c r="M270" s="171"/>
      <c r="N270" s="88"/>
      <c r="O270" s="88"/>
      <c r="R270" s="10"/>
      <c r="S270" s="89"/>
      <c r="T270" s="89"/>
      <c r="U270" s="90"/>
      <c r="V270" s="89"/>
      <c r="W270" s="91" t="str">
        <f aca="false">IF(OR(U270=0,N270=""), "", O270*ROUND(U270,0))</f>
        <v/>
      </c>
      <c r="X270" s="101" t="str">
        <f aca="false">IF(AND(N270="", U270&lt;&gt;""),"?",IF(AND(W270&lt;&gt;0,W270&lt;&gt;""), "р.", ""))</f>
        <v/>
      </c>
      <c r="Y270" s="93" t="str">
        <f aca="false">IF(AND(S270&gt;0,U270&gt;0), S270*ROUND(U270,0) / 1000, "")</f>
        <v/>
      </c>
      <c r="Z270" s="101" t="str">
        <f aca="false">IF(AND(Y270&lt;&gt;0,Y270&lt;&gt;""), "кг", "")</f>
        <v/>
      </c>
      <c r="AA270" s="10"/>
    </row>
    <row r="271" customFormat="false" ht="18.15" hidden="false" customHeight="true" outlineLevel="0" collapsed="false">
      <c r="B271" s="59"/>
      <c r="C271" s="62" t="str">
        <f aca="false">HYPERLINK("http://www.emi-penza.ru/p/308/", "642.3777")</f>
        <v>642.3777</v>
      </c>
      <c r="D271" s="63" t="s">
        <v>349</v>
      </c>
      <c r="E271" s="63"/>
      <c r="F271" s="63"/>
      <c r="G271" s="63" t="s">
        <v>309</v>
      </c>
      <c r="H271" s="63"/>
      <c r="I271" s="64" t="s">
        <v>327</v>
      </c>
      <c r="J271" s="64"/>
      <c r="K271" s="63" t="s">
        <v>350</v>
      </c>
      <c r="L271" s="63"/>
      <c r="M271" s="63"/>
      <c r="N271" s="65" t="n">
        <v>170</v>
      </c>
      <c r="O271" s="65" t="n">
        <f aca="false">ROUND(N271*1.2, 2)</f>
        <v>204</v>
      </c>
      <c r="R271" s="10"/>
      <c r="S271" s="66" t="n">
        <v>42</v>
      </c>
      <c r="T271" s="66"/>
      <c r="U271" s="67" t="n">
        <v>0</v>
      </c>
      <c r="V271" s="66"/>
      <c r="W271" s="72" t="str">
        <f aca="false">IF(OR(U271=0,N271=""), "", O271*ROUND(U271,0))</f>
        <v/>
      </c>
      <c r="X271" s="99" t="str">
        <f aca="false">IF(AND(N271="", U271&lt;&gt;""),"?",IF(AND(W271&lt;&gt;0,W271&lt;&gt;""), "р.", ""))</f>
        <v/>
      </c>
      <c r="Y271" s="70" t="str">
        <f aca="false">IF(AND(S271&gt;0,U271&gt;0), S271*ROUND(U271,0) / 1000, "")</f>
        <v/>
      </c>
      <c r="Z271" s="99" t="str">
        <f aca="false">IF(AND(Y271&lt;&gt;0,Y271&lt;&gt;""), "кг", "")</f>
        <v/>
      </c>
      <c r="AA271" s="10"/>
    </row>
    <row r="272" customFormat="false" ht="18.15" hidden="false" customHeight="true" outlineLevel="0" collapsed="false">
      <c r="B272" s="59"/>
      <c r="C272" s="62" t="str">
        <f aca="false">HYPERLINK("http://www.emi-penza.ru/p/340/", "642.3777 М")</f>
        <v>642.3777 М</v>
      </c>
      <c r="D272" s="63" t="s">
        <v>349</v>
      </c>
      <c r="E272" s="63"/>
      <c r="F272" s="63"/>
      <c r="G272" s="63" t="s">
        <v>309</v>
      </c>
      <c r="H272" s="63"/>
      <c r="I272" s="64" t="s">
        <v>327</v>
      </c>
      <c r="J272" s="64"/>
      <c r="K272" s="63" t="s">
        <v>350</v>
      </c>
      <c r="L272" s="63"/>
      <c r="M272" s="63"/>
      <c r="N272" s="65" t="n">
        <v>81</v>
      </c>
      <c r="O272" s="65" t="n">
        <f aca="false">ROUND(N272*1.2, 2)</f>
        <v>97.2</v>
      </c>
      <c r="R272" s="10"/>
      <c r="S272" s="66" t="n">
        <v>35</v>
      </c>
      <c r="T272" s="66"/>
      <c r="U272" s="67" t="n">
        <v>0</v>
      </c>
      <c r="V272" s="66"/>
      <c r="W272" s="72" t="str">
        <f aca="false">IF(OR(U272=0,N272=""), "", O272*ROUND(U272,0))</f>
        <v/>
      </c>
      <c r="X272" s="99" t="str">
        <f aca="false">IF(AND(N272="", U272&lt;&gt;""),"?",IF(AND(W272&lt;&gt;0,W272&lt;&gt;""), "р.", ""))</f>
        <v/>
      </c>
      <c r="Y272" s="70" t="str">
        <f aca="false">IF(AND(S272&gt;0,U272&gt;0), S272*ROUND(U272,0) / 1000, "")</f>
        <v/>
      </c>
      <c r="Z272" s="99" t="str">
        <f aca="false">IF(AND(Y272&lt;&gt;0,Y272&lt;&gt;""), "кг", "")</f>
        <v/>
      </c>
      <c r="AA272" s="10"/>
    </row>
    <row r="273" customFormat="false" ht="18.15" hidden="false" customHeight="true" outlineLevel="0" collapsed="false">
      <c r="B273" s="59"/>
      <c r="C273" s="62" t="str">
        <f aca="false">HYPERLINK("http://www.emi-penza.ru/p/322/", "642.3777-01")</f>
        <v>642.3777-01</v>
      </c>
      <c r="D273" s="63" t="s">
        <v>351</v>
      </c>
      <c r="E273" s="63"/>
      <c r="F273" s="63"/>
      <c r="G273" s="63" t="s">
        <v>309</v>
      </c>
      <c r="H273" s="63"/>
      <c r="I273" s="64" t="s">
        <v>327</v>
      </c>
      <c r="J273" s="64"/>
      <c r="K273" s="63" t="s">
        <v>352</v>
      </c>
      <c r="L273" s="63"/>
      <c r="M273" s="63"/>
      <c r="N273" s="65" t="n">
        <v>115</v>
      </c>
      <c r="O273" s="65" t="n">
        <f aca="false">ROUND(N273*1.2, 2)</f>
        <v>138</v>
      </c>
      <c r="R273" s="10"/>
      <c r="S273" s="66" t="n">
        <v>42</v>
      </c>
      <c r="T273" s="66"/>
      <c r="U273" s="67" t="n">
        <v>0</v>
      </c>
      <c r="V273" s="66"/>
      <c r="W273" s="72" t="str">
        <f aca="false">IF(OR(U273=0,N273=""), "", O273*ROUND(U273,0))</f>
        <v/>
      </c>
      <c r="X273" s="99" t="str">
        <f aca="false">IF(AND(N273="", U273&lt;&gt;""),"?",IF(AND(W273&lt;&gt;0,W273&lt;&gt;""), "р.", ""))</f>
        <v/>
      </c>
      <c r="Y273" s="70" t="str">
        <f aca="false">IF(AND(S273&gt;0,U273&gt;0), S273*ROUND(U273,0) / 1000, "")</f>
        <v/>
      </c>
      <c r="Z273" s="99" t="str">
        <f aca="false">IF(AND(Y273&lt;&gt;0,Y273&lt;&gt;""), "кг", "")</f>
        <v/>
      </c>
      <c r="AA273" s="10"/>
    </row>
    <row r="274" customFormat="false" ht="18.15" hidden="false" customHeight="true" outlineLevel="0" collapsed="false">
      <c r="B274" s="59"/>
      <c r="C274" s="62" t="str">
        <f aca="false">HYPERLINK("http://www.emi-penza.ru/p/350/", "642.3777-01 М")</f>
        <v>642.3777-01 М</v>
      </c>
      <c r="D274" s="63" t="s">
        <v>351</v>
      </c>
      <c r="E274" s="63"/>
      <c r="F274" s="63"/>
      <c r="G274" s="63" t="s">
        <v>309</v>
      </c>
      <c r="H274" s="63"/>
      <c r="I274" s="64" t="s">
        <v>327</v>
      </c>
      <c r="J274" s="64"/>
      <c r="K274" s="63" t="s">
        <v>353</v>
      </c>
      <c r="L274" s="63"/>
      <c r="M274" s="63"/>
      <c r="N274" s="65" t="n">
        <v>81</v>
      </c>
      <c r="O274" s="65" t="n">
        <f aca="false">ROUND(N274*1.2, 2)</f>
        <v>97.2</v>
      </c>
      <c r="R274" s="10"/>
      <c r="S274" s="66" t="n">
        <v>28</v>
      </c>
      <c r="T274" s="66"/>
      <c r="U274" s="67" t="n">
        <v>0</v>
      </c>
      <c r="V274" s="66"/>
      <c r="W274" s="72" t="str">
        <f aca="false">IF(OR(U274=0,N274=""), "", O274*ROUND(U274,0))</f>
        <v/>
      </c>
      <c r="X274" s="99" t="str">
        <f aca="false">IF(AND(N274="", U274&lt;&gt;""),"?",IF(AND(W274&lt;&gt;0,W274&lt;&gt;""), "р.", ""))</f>
        <v/>
      </c>
      <c r="Y274" s="70" t="str">
        <f aca="false">IF(AND(S274&gt;0,U274&gt;0), S274*ROUND(U274,0) / 1000, "")</f>
        <v/>
      </c>
      <c r="Z274" s="99" t="str">
        <f aca="false">IF(AND(Y274&lt;&gt;0,Y274&lt;&gt;""), "кг", "")</f>
        <v/>
      </c>
      <c r="AA274" s="10"/>
    </row>
    <row r="275" customFormat="false" ht="18.15" hidden="false" customHeight="true" outlineLevel="0" collapsed="false">
      <c r="B275" s="59"/>
      <c r="C275" s="62" t="str">
        <f aca="false">HYPERLINK("http://www.emi-penza.ru/p/323/", "642.3777-02")</f>
        <v>642.3777-02</v>
      </c>
      <c r="D275" s="63" t="s">
        <v>354</v>
      </c>
      <c r="E275" s="63"/>
      <c r="F275" s="63"/>
      <c r="G275" s="63" t="s">
        <v>309</v>
      </c>
      <c r="H275" s="63"/>
      <c r="I275" s="64" t="s">
        <v>327</v>
      </c>
      <c r="J275" s="64"/>
      <c r="K275" s="63" t="s">
        <v>355</v>
      </c>
      <c r="L275" s="63"/>
      <c r="M275" s="63"/>
      <c r="N275" s="65" t="n">
        <v>170</v>
      </c>
      <c r="O275" s="65" t="n">
        <f aca="false">ROUND(N275*1.2, 2)</f>
        <v>204</v>
      </c>
      <c r="R275" s="10"/>
      <c r="S275" s="66" t="n">
        <v>42</v>
      </c>
      <c r="T275" s="66"/>
      <c r="U275" s="67" t="n">
        <v>0</v>
      </c>
      <c r="V275" s="66"/>
      <c r="W275" s="72" t="str">
        <f aca="false">IF(OR(U275=0,N275=""), "", O275*ROUND(U275,0))</f>
        <v/>
      </c>
      <c r="X275" s="99" t="str">
        <f aca="false">IF(AND(N275="", U275&lt;&gt;""),"?",IF(AND(W275&lt;&gt;0,W275&lt;&gt;""), "р.", ""))</f>
        <v/>
      </c>
      <c r="Y275" s="70" t="str">
        <f aca="false">IF(AND(S275&gt;0,U275&gt;0), S275*ROUND(U275,0) / 1000, "")</f>
        <v/>
      </c>
      <c r="Z275" s="99" t="str">
        <f aca="false">IF(AND(Y275&lt;&gt;0,Y275&lt;&gt;""), "кг", "")</f>
        <v/>
      </c>
      <c r="AA275" s="10"/>
    </row>
    <row r="276" customFormat="false" ht="14.15" hidden="false" customHeight="true" outlineLevel="0" collapsed="false">
      <c r="B276" s="173"/>
      <c r="C276" s="74" t="str">
        <f aca="false">HYPERLINK("http://www.emi-penza.ru/p/332/", "642.3777-03")</f>
        <v>642.3777-03</v>
      </c>
      <c r="D276" s="75" t="s">
        <v>356</v>
      </c>
      <c r="E276" s="75"/>
      <c r="F276" s="75"/>
      <c r="G276" s="75" t="s">
        <v>309</v>
      </c>
      <c r="H276" s="75"/>
      <c r="I276" s="76" t="s">
        <v>327</v>
      </c>
      <c r="J276" s="76"/>
      <c r="K276" s="75" t="s">
        <v>357</v>
      </c>
      <c r="L276" s="75"/>
      <c r="M276" s="75"/>
      <c r="N276" s="77" t="n">
        <v>119</v>
      </c>
      <c r="O276" s="77" t="n">
        <f aca="false">ROUND(N276*1.2, 2)</f>
        <v>142.8</v>
      </c>
      <c r="R276" s="10"/>
      <c r="S276" s="78" t="n">
        <v>35</v>
      </c>
      <c r="T276" s="78"/>
      <c r="U276" s="79" t="n">
        <v>0</v>
      </c>
      <c r="V276" s="78"/>
      <c r="W276" s="80" t="str">
        <f aca="false">IF(OR(U276=0,N276=""), "", O276*ROUND(U276,0))</f>
        <v/>
      </c>
      <c r="X276" s="100" t="str">
        <f aca="false">IF(AND(N276="", U276&lt;&gt;""),"?",IF(AND(W276&lt;&gt;0,W276&lt;&gt;""), "р.", ""))</f>
        <v/>
      </c>
      <c r="Y276" s="82" t="str">
        <f aca="false">IF(AND(S276&gt;0,U276&gt;0), S276*ROUND(U276,0) / 1000, "")</f>
        <v/>
      </c>
      <c r="Z276" s="100" t="str">
        <f aca="false">IF(AND(Y276&lt;&gt;0,Y276&lt;&gt;""), "кг", "")</f>
        <v/>
      </c>
      <c r="AA276" s="10"/>
    </row>
    <row r="277" customFormat="false" ht="15" hidden="false" customHeight="true" outlineLevel="0" collapsed="false">
      <c r="B277" s="3"/>
      <c r="C277" s="85"/>
      <c r="D277" s="86" t="s">
        <v>358</v>
      </c>
      <c r="E277" s="86"/>
      <c r="F277" s="86"/>
      <c r="G277" s="86"/>
      <c r="H277" s="86"/>
      <c r="I277" s="87"/>
      <c r="J277" s="87"/>
      <c r="K277" s="86"/>
      <c r="L277" s="86"/>
      <c r="M277" s="86"/>
      <c r="N277" s="88"/>
      <c r="O277" s="88"/>
      <c r="R277" s="10"/>
      <c r="S277" s="89"/>
      <c r="T277" s="89"/>
      <c r="U277" s="90"/>
      <c r="V277" s="89"/>
      <c r="W277" s="91" t="str">
        <f aca="false">IF(OR(U277=0,N277=""), "", O277*ROUND(U277,0))</f>
        <v/>
      </c>
      <c r="X277" s="101" t="str">
        <f aca="false">IF(AND(N277="", U277&lt;&gt;""),"?",IF(AND(W277&lt;&gt;0,W277&lt;&gt;""), "р.", ""))</f>
        <v/>
      </c>
      <c r="Y277" s="93" t="str">
        <f aca="false">IF(AND(S277&gt;0,U277&gt;0), S277*ROUND(U277,0) / 1000, "")</f>
        <v/>
      </c>
      <c r="Z277" s="101" t="str">
        <f aca="false">IF(AND(Y277&lt;&gt;0,Y277&lt;&gt;""), "кг", "")</f>
        <v/>
      </c>
      <c r="AA277" s="10"/>
    </row>
    <row r="278" customFormat="false" ht="14.15" hidden="false" customHeight="true" outlineLevel="0" collapsed="false">
      <c r="B278" s="173"/>
      <c r="C278" s="74" t="str">
        <f aca="false">HYPERLINK("http://www.emi-penza.ru/p/341/", "642.3777-03 М")</f>
        <v>642.3777-03 М</v>
      </c>
      <c r="D278" s="75" t="s">
        <v>356</v>
      </c>
      <c r="E278" s="75"/>
      <c r="F278" s="75"/>
      <c r="G278" s="75" t="s">
        <v>309</v>
      </c>
      <c r="H278" s="75"/>
      <c r="I278" s="76" t="s">
        <v>327</v>
      </c>
      <c r="J278" s="76"/>
      <c r="K278" s="75" t="s">
        <v>357</v>
      </c>
      <c r="L278" s="75"/>
      <c r="M278" s="75"/>
      <c r="N278" s="77" t="n">
        <v>81</v>
      </c>
      <c r="O278" s="77" t="n">
        <f aca="false">ROUND(N278*1.2, 2)</f>
        <v>97.2</v>
      </c>
      <c r="R278" s="10"/>
      <c r="S278" s="78" t="n">
        <v>29</v>
      </c>
      <c r="T278" s="78"/>
      <c r="U278" s="79" t="n">
        <v>0</v>
      </c>
      <c r="V278" s="78"/>
      <c r="W278" s="80" t="str">
        <f aca="false">IF(OR(U278=0,N278=""), "", O278*ROUND(U278,0))</f>
        <v/>
      </c>
      <c r="X278" s="100" t="str">
        <f aca="false">IF(AND(N278="", U278&lt;&gt;""),"?",IF(AND(W278&lt;&gt;0,W278&lt;&gt;""), "р.", ""))</f>
        <v/>
      </c>
      <c r="Y278" s="82" t="str">
        <f aca="false">IF(AND(S278&gt;0,U278&gt;0), S278*ROUND(U278,0) / 1000, "")</f>
        <v/>
      </c>
      <c r="Z278" s="100" t="str">
        <f aca="false">IF(AND(Y278&lt;&gt;0,Y278&lt;&gt;""), "кг", "")</f>
        <v/>
      </c>
      <c r="AA278" s="10"/>
    </row>
    <row r="279" customFormat="false" ht="15" hidden="false" customHeight="true" outlineLevel="0" collapsed="false">
      <c r="B279" s="3"/>
      <c r="C279" s="85"/>
      <c r="D279" s="86" t="s">
        <v>358</v>
      </c>
      <c r="E279" s="86"/>
      <c r="F279" s="86"/>
      <c r="G279" s="86"/>
      <c r="H279" s="86"/>
      <c r="I279" s="87"/>
      <c r="J279" s="87"/>
      <c r="K279" s="86"/>
      <c r="L279" s="86"/>
      <c r="M279" s="86"/>
      <c r="N279" s="88"/>
      <c r="O279" s="88"/>
      <c r="R279" s="10"/>
      <c r="S279" s="89"/>
      <c r="T279" s="89"/>
      <c r="U279" s="90"/>
      <c r="V279" s="89"/>
      <c r="W279" s="91" t="str">
        <f aca="false">IF(OR(U279=0,N279=""), "", O279*ROUND(U279,0))</f>
        <v/>
      </c>
      <c r="X279" s="101" t="str">
        <f aca="false">IF(AND(N279="", U279&lt;&gt;""),"?",IF(AND(W279&lt;&gt;0,W279&lt;&gt;""), "р.", ""))</f>
        <v/>
      </c>
      <c r="Y279" s="93" t="str">
        <f aca="false">IF(AND(S279&gt;0,U279&gt;0), S279*ROUND(U279,0) / 1000, "")</f>
        <v/>
      </c>
      <c r="Z279" s="101" t="str">
        <f aca="false">IF(AND(Y279&lt;&gt;0,Y279&lt;&gt;""), "кг", "")</f>
        <v/>
      </c>
      <c r="AA279" s="10"/>
    </row>
    <row r="280" customFormat="false" ht="14.15" hidden="false" customHeight="true" outlineLevel="0" collapsed="false">
      <c r="B280" s="73"/>
      <c r="C280" s="74" t="str">
        <f aca="false">HYPERLINK("http://www.emi-penza.ru/p/342/", "642.3777-04")</f>
        <v>642.3777-04</v>
      </c>
      <c r="D280" s="75" t="s">
        <v>359</v>
      </c>
      <c r="E280" s="75"/>
      <c r="F280" s="75"/>
      <c r="G280" s="75" t="s">
        <v>309</v>
      </c>
      <c r="H280" s="75"/>
      <c r="I280" s="76" t="s">
        <v>310</v>
      </c>
      <c r="J280" s="76"/>
      <c r="K280" s="75" t="s">
        <v>360</v>
      </c>
      <c r="L280" s="75"/>
      <c r="M280" s="75"/>
      <c r="N280" s="77" t="n">
        <v>185</v>
      </c>
      <c r="O280" s="77" t="n">
        <f aca="false">ROUND(N280*1.2, 2)</f>
        <v>222</v>
      </c>
      <c r="R280" s="10"/>
      <c r="S280" s="78" t="n">
        <v>42</v>
      </c>
      <c r="T280" s="78"/>
      <c r="U280" s="79" t="n">
        <v>0</v>
      </c>
      <c r="V280" s="78"/>
      <c r="W280" s="80" t="str">
        <f aca="false">IF(OR(U280=0,N280=""), "", O280*ROUND(U280,0))</f>
        <v/>
      </c>
      <c r="X280" s="100" t="str">
        <f aca="false">IF(AND(N280="", U280&lt;&gt;""),"?",IF(AND(W280&lt;&gt;0,W280&lt;&gt;""), "р.", ""))</f>
        <v/>
      </c>
      <c r="Y280" s="82" t="str">
        <f aca="false">IF(AND(S280&gt;0,U280&gt;0), S280*ROUND(U280,0) / 1000, "")</f>
        <v/>
      </c>
      <c r="Z280" s="100" t="str">
        <f aca="false">IF(AND(Y280&lt;&gt;0,Y280&lt;&gt;""), "кг", "")</f>
        <v/>
      </c>
      <c r="AA280" s="10"/>
    </row>
    <row r="281" customFormat="false" ht="15" hidden="false" customHeight="true" outlineLevel="0" collapsed="false">
      <c r="B281" s="3"/>
      <c r="C281" s="85"/>
      <c r="D281" s="86"/>
      <c r="E281" s="86"/>
      <c r="F281" s="86"/>
      <c r="G281" s="86" t="s">
        <v>361</v>
      </c>
      <c r="H281" s="86"/>
      <c r="I281" s="87"/>
      <c r="J281" s="87"/>
      <c r="K281" s="86"/>
      <c r="L281" s="86"/>
      <c r="M281" s="86"/>
      <c r="N281" s="88"/>
      <c r="O281" s="88"/>
      <c r="R281" s="10"/>
      <c r="S281" s="89"/>
      <c r="T281" s="89"/>
      <c r="U281" s="90"/>
      <c r="V281" s="89"/>
      <c r="W281" s="91"/>
      <c r="X281" s="101"/>
      <c r="Y281" s="93"/>
      <c r="Z281" s="101"/>
      <c r="AA281" s="10"/>
    </row>
    <row r="282" customFormat="false" ht="18.15" hidden="false" customHeight="true" outlineLevel="0" collapsed="false">
      <c r="B282" s="61"/>
      <c r="C282" s="62" t="str">
        <f aca="false">HYPERLINK("http://www.emi-penza.ru/p/642.3777-04_M/", "642.3777-04 М")</f>
        <v>642.3777-04 М</v>
      </c>
      <c r="D282" s="63" t="s">
        <v>362</v>
      </c>
      <c r="E282" s="63"/>
      <c r="F282" s="63"/>
      <c r="G282" s="63" t="s">
        <v>309</v>
      </c>
      <c r="H282" s="63"/>
      <c r="I282" s="64" t="s">
        <v>310</v>
      </c>
      <c r="J282" s="64"/>
      <c r="K282" s="63" t="s">
        <v>360</v>
      </c>
      <c r="L282" s="63"/>
      <c r="M282" s="63"/>
      <c r="N282" s="65" t="n">
        <v>132</v>
      </c>
      <c r="O282" s="65" t="n">
        <f aca="false">ROUND(N282*1.2, 2)</f>
        <v>158.4</v>
      </c>
      <c r="R282" s="10"/>
      <c r="S282" s="66" t="n">
        <v>42</v>
      </c>
      <c r="T282" s="66"/>
      <c r="U282" s="67" t="n">
        <v>0</v>
      </c>
      <c r="V282" s="66"/>
      <c r="W282" s="72" t="str">
        <f aca="false">IF(OR(U282=0,N282=""), "", O282*ROUND(U282,0))</f>
        <v/>
      </c>
      <c r="X282" s="99" t="str">
        <f aca="false">IF(AND(N282="", U282&lt;&gt;""),"?",IF(AND(W282&lt;&gt;0,W282&lt;&gt;""), "р.", ""))</f>
        <v/>
      </c>
      <c r="Y282" s="70" t="str">
        <f aca="false">IF(AND(S282&gt;0,U282&gt;0), S282*ROUND(U282,0) / 1000, "")</f>
        <v/>
      </c>
      <c r="Z282" s="99" t="str">
        <f aca="false">IF(AND(Y282&lt;&gt;0,Y282&lt;&gt;""), "кг", "")</f>
        <v/>
      </c>
      <c r="AA282" s="10"/>
    </row>
    <row r="283" customFormat="false" ht="14.15" hidden="false" customHeight="true" outlineLevel="0" collapsed="false">
      <c r="B283" s="73"/>
      <c r="C283" s="74" t="str">
        <f aca="false">HYPERLINK("https://www.emi-penza.ru/p/642.3777-05_LED", "642.3777-05 LED")</f>
        <v>642.3777-05 LED</v>
      </c>
      <c r="D283" s="75"/>
      <c r="E283" s="75"/>
      <c r="F283" s="75"/>
      <c r="G283" s="75" t="s">
        <v>309</v>
      </c>
      <c r="H283" s="75"/>
      <c r="I283" s="76" t="s">
        <v>327</v>
      </c>
      <c r="J283" s="76"/>
      <c r="K283" s="75" t="s">
        <v>363</v>
      </c>
      <c r="L283" s="75"/>
      <c r="M283" s="75"/>
      <c r="N283" s="77" t="n">
        <v>179</v>
      </c>
      <c r="O283" s="77" t="n">
        <f aca="false">ROUND(N283*1.2, 2)</f>
        <v>214.8</v>
      </c>
      <c r="R283" s="10"/>
      <c r="S283" s="78" t="n">
        <v>35</v>
      </c>
      <c r="T283" s="78"/>
      <c r="U283" s="79" t="n">
        <v>0</v>
      </c>
      <c r="V283" s="78"/>
      <c r="W283" s="80" t="str">
        <f aca="false">IF(OR(U283=0,N283=""), "", O283*ROUND(U283,0))</f>
        <v/>
      </c>
      <c r="X283" s="100" t="str">
        <f aca="false">IF(AND(N283="", U283&lt;&gt;""),"?",IF(AND(W283&lt;&gt;0,W283&lt;&gt;""), "р.", ""))</f>
        <v/>
      </c>
      <c r="Y283" s="82" t="str">
        <f aca="false">IF(AND(S283&gt;0,U283&gt;0), S283*ROUND(U283,0) / 1000, "")</f>
        <v/>
      </c>
      <c r="Z283" s="100" t="str">
        <f aca="false">IF(AND(Y283&lt;&gt;0,Y283&lt;&gt;""), "кг", "")</f>
        <v/>
      </c>
      <c r="AA283" s="10"/>
    </row>
    <row r="284" customFormat="false" ht="15" hidden="false" customHeight="true" outlineLevel="0" collapsed="false">
      <c r="B284" s="3"/>
      <c r="C284" s="85"/>
      <c r="D284" s="86"/>
      <c r="E284" s="86"/>
      <c r="F284" s="86"/>
      <c r="G284" s="86"/>
      <c r="H284" s="86"/>
      <c r="I284" s="87"/>
      <c r="J284" s="87"/>
      <c r="K284" s="86" t="s">
        <v>364</v>
      </c>
      <c r="L284" s="86"/>
      <c r="M284" s="86"/>
      <c r="N284" s="88"/>
      <c r="O284" s="88"/>
      <c r="R284" s="10"/>
      <c r="S284" s="89"/>
      <c r="T284" s="89"/>
      <c r="U284" s="90"/>
      <c r="V284" s="89"/>
      <c r="W284" s="91" t="str">
        <f aca="false">IF(OR(U284=0,N284=""), "", O284*ROUND(U284,0))</f>
        <v/>
      </c>
      <c r="X284" s="101" t="str">
        <f aca="false">IF(AND(N284="", U284&lt;&gt;""),"?",IF(AND(W284&lt;&gt;0,W284&lt;&gt;""), "р.", ""))</f>
        <v/>
      </c>
      <c r="Y284" s="93" t="str">
        <f aca="false">IF(AND(S284&gt;0,U284&gt;0), S284*ROUND(U284,0) / 1000, "")</f>
        <v/>
      </c>
      <c r="Z284" s="101" t="str">
        <f aca="false">IF(AND(Y284&lt;&gt;0,Y284&lt;&gt;""), "кг", "")</f>
        <v/>
      </c>
      <c r="AA284" s="10"/>
    </row>
    <row r="285" customFormat="false" ht="18.15" hidden="false" customHeight="true" outlineLevel="0" collapsed="false">
      <c r="B285" s="59"/>
      <c r="C285" s="62" t="str">
        <f aca="false">HYPERLINK("http://www.emi-penza.ru/p/324/", "643.3777")</f>
        <v>643.3777</v>
      </c>
      <c r="D285" s="63" t="s">
        <v>365</v>
      </c>
      <c r="E285" s="63"/>
      <c r="F285" s="63"/>
      <c r="G285" s="63" t="s">
        <v>309</v>
      </c>
      <c r="H285" s="63"/>
      <c r="I285" s="64" t="s">
        <v>327</v>
      </c>
      <c r="J285" s="64"/>
      <c r="K285" s="63" t="s">
        <v>366</v>
      </c>
      <c r="L285" s="63"/>
      <c r="M285" s="63"/>
      <c r="N285" s="65" t="n">
        <v>280</v>
      </c>
      <c r="O285" s="65" t="n">
        <f aca="false">ROUND(N285*1.2, 2)</f>
        <v>336</v>
      </c>
      <c r="R285" s="10"/>
      <c r="S285" s="66" t="n">
        <v>93</v>
      </c>
      <c r="T285" s="66"/>
      <c r="U285" s="67" t="n">
        <v>0</v>
      </c>
      <c r="V285" s="66"/>
      <c r="W285" s="72" t="str">
        <f aca="false">IF(OR(U285=0,N285=""), "", O285*ROUND(U285,0))</f>
        <v/>
      </c>
      <c r="X285" s="99" t="str">
        <f aca="false">IF(AND(N285="", U285&lt;&gt;""),"?",IF(AND(W285&lt;&gt;0,W285&lt;&gt;""), "р.", ""))</f>
        <v/>
      </c>
      <c r="Y285" s="70" t="str">
        <f aca="false">IF(AND(S285&gt;0,U285&gt;0), S285*ROUND(U285,0) / 1000, "")</f>
        <v/>
      </c>
      <c r="Z285" s="99" t="str">
        <f aca="false">IF(AND(Y285&lt;&gt;0,Y285&lt;&gt;""), "кг", "")</f>
        <v/>
      </c>
      <c r="AA285" s="10"/>
    </row>
    <row r="286" customFormat="false" ht="18.15" hidden="false" customHeight="true" outlineLevel="0" collapsed="false">
      <c r="B286" s="59"/>
      <c r="C286" s="62" t="str">
        <f aca="false">HYPERLINK("http://www.emi-penza.ru/p/333/", "643.3777-01")</f>
        <v>643.3777-01</v>
      </c>
      <c r="D286" s="63" t="s">
        <v>365</v>
      </c>
      <c r="E286" s="63"/>
      <c r="F286" s="63"/>
      <c r="G286" s="63" t="s">
        <v>309</v>
      </c>
      <c r="H286" s="63"/>
      <c r="I286" s="64" t="s">
        <v>327</v>
      </c>
      <c r="J286" s="64"/>
      <c r="K286" s="63" t="s">
        <v>367</v>
      </c>
      <c r="L286" s="63"/>
      <c r="M286" s="63"/>
      <c r="N286" s="65" t="n">
        <v>207</v>
      </c>
      <c r="O286" s="65" t="n">
        <f aca="false">ROUND(N286*1.2, 2)</f>
        <v>248.4</v>
      </c>
      <c r="R286" s="10"/>
      <c r="S286" s="66" t="n">
        <v>93</v>
      </c>
      <c r="T286" s="66"/>
      <c r="U286" s="67" t="n">
        <v>0</v>
      </c>
      <c r="V286" s="66"/>
      <c r="W286" s="72" t="str">
        <f aca="false">IF(OR(U286=0,N286=""), "", O286*ROUND(U286,0))</f>
        <v/>
      </c>
      <c r="X286" s="99" t="str">
        <f aca="false">IF(AND(N286="", U286&lt;&gt;""),"?",IF(AND(W286&lt;&gt;0,W286&lt;&gt;""), "р.", ""))</f>
        <v/>
      </c>
      <c r="Y286" s="70" t="str">
        <f aca="false">IF(AND(S286&gt;0,U286&gt;0), S286*ROUND(U286,0) / 1000, "")</f>
        <v/>
      </c>
      <c r="Z286" s="99" t="str">
        <f aca="false">IF(AND(Y286&lt;&gt;0,Y286&lt;&gt;""), "кг", "")</f>
        <v/>
      </c>
      <c r="AA286" s="10"/>
    </row>
    <row r="287" customFormat="false" ht="18.15" hidden="false" customHeight="true" outlineLevel="0" collapsed="false">
      <c r="B287" s="61"/>
      <c r="C287" s="62" t="str">
        <f aca="false">HYPERLINK("http://www.emi-penza.ru/p/643.3777-02/", "643.3777-02")</f>
        <v>643.3777-02</v>
      </c>
      <c r="D287" s="63"/>
      <c r="E287" s="63"/>
      <c r="F287" s="63"/>
      <c r="G287" s="63" t="s">
        <v>309</v>
      </c>
      <c r="H287" s="63"/>
      <c r="I287" s="64" t="s">
        <v>327</v>
      </c>
      <c r="J287" s="64"/>
      <c r="K287" s="63" t="s">
        <v>368</v>
      </c>
      <c r="L287" s="63"/>
      <c r="M287" s="63"/>
      <c r="N287" s="65" t="n">
        <v>1575</v>
      </c>
      <c r="O287" s="65" t="n">
        <f aca="false">ROUND(N287*1.2, 2)</f>
        <v>1890</v>
      </c>
      <c r="R287" s="10"/>
      <c r="S287" s="66" t="n">
        <v>90</v>
      </c>
      <c r="T287" s="66"/>
      <c r="U287" s="67" t="n">
        <v>0</v>
      </c>
      <c r="V287" s="66"/>
      <c r="W287" s="72" t="str">
        <f aca="false">IF(OR(U287=0,N287=""), "", O287*ROUND(U287,0))</f>
        <v/>
      </c>
      <c r="X287" s="99" t="str">
        <f aca="false">IF(AND(N287="", U287&lt;&gt;""),"?",IF(AND(W287&lt;&gt;0,W287&lt;&gt;""), "р.", ""))</f>
        <v/>
      </c>
      <c r="Y287" s="70" t="str">
        <f aca="false">IF(AND(S287&gt;0,U287&gt;0), S287*ROUND(U287,0) / 1000, "")</f>
        <v/>
      </c>
      <c r="Z287" s="99" t="str">
        <f aca="false">IF(AND(Y287&lt;&gt;0,Y287&lt;&gt;""), "кг", "")</f>
        <v/>
      </c>
      <c r="AA287" s="10"/>
    </row>
    <row r="288" customFormat="false" ht="18.15" hidden="false" customHeight="true" outlineLevel="0" collapsed="false">
      <c r="B288" s="59"/>
      <c r="C288" s="62" t="str">
        <f aca="false">HYPERLINK("http://www.emi-penza.ru/p/320/", "644.3777")</f>
        <v>644.3777</v>
      </c>
      <c r="D288" s="63" t="s">
        <v>326</v>
      </c>
      <c r="E288" s="63"/>
      <c r="F288" s="63"/>
      <c r="G288" s="63" t="s">
        <v>309</v>
      </c>
      <c r="H288" s="63"/>
      <c r="I288" s="64" t="s">
        <v>327</v>
      </c>
      <c r="J288" s="64"/>
      <c r="K288" s="63" t="s">
        <v>369</v>
      </c>
      <c r="L288" s="63"/>
      <c r="M288" s="63"/>
      <c r="N288" s="65" t="n">
        <v>84</v>
      </c>
      <c r="O288" s="65" t="n">
        <f aca="false">ROUND(N288*1.2, 2)</f>
        <v>100.8</v>
      </c>
      <c r="R288" s="10"/>
      <c r="S288" s="66" t="n">
        <v>17</v>
      </c>
      <c r="T288" s="66"/>
      <c r="U288" s="67" t="n">
        <v>0</v>
      </c>
      <c r="V288" s="66"/>
      <c r="W288" s="72" t="str">
        <f aca="false">IF(OR(U288=0,N288=""), "", O288*ROUND(U288,0))</f>
        <v/>
      </c>
      <c r="X288" s="99" t="str">
        <f aca="false">IF(AND(N288="", U288&lt;&gt;""),"?",IF(AND(W288&lt;&gt;0,W288&lt;&gt;""), "р.", ""))</f>
        <v/>
      </c>
      <c r="Y288" s="70" t="str">
        <f aca="false">IF(AND(S288&gt;0,U288&gt;0), S288*ROUND(U288,0) / 1000, "")</f>
        <v/>
      </c>
      <c r="Z288" s="99" t="str">
        <f aca="false">IF(AND(Y288&lt;&gt;0,Y288&lt;&gt;""), "кг", "")</f>
        <v/>
      </c>
      <c r="AA288" s="10"/>
    </row>
    <row r="289" customFormat="false" ht="14.15" hidden="false" customHeight="true" outlineLevel="0" collapsed="false">
      <c r="B289" s="173"/>
      <c r="C289" s="74" t="str">
        <f aca="false">HYPERLINK("http://www.emi-penza.ru/p/361/", "644.3777-01")</f>
        <v>644.3777-01</v>
      </c>
      <c r="D289" s="75" t="s">
        <v>370</v>
      </c>
      <c r="E289" s="75"/>
      <c r="F289" s="75"/>
      <c r="G289" s="75" t="s">
        <v>309</v>
      </c>
      <c r="H289" s="75"/>
      <c r="I289" s="76" t="s">
        <v>310</v>
      </c>
      <c r="J289" s="76"/>
      <c r="K289" s="75" t="s">
        <v>371</v>
      </c>
      <c r="L289" s="75"/>
      <c r="M289" s="75"/>
      <c r="N289" s="77" t="n">
        <v>147</v>
      </c>
      <c r="O289" s="77" t="n">
        <f aca="false">ROUND(N289*1.2, 2)</f>
        <v>176.4</v>
      </c>
      <c r="R289" s="10"/>
      <c r="S289" s="78" t="n">
        <v>25</v>
      </c>
      <c r="T289" s="78"/>
      <c r="U289" s="79" t="n">
        <v>0</v>
      </c>
      <c r="V289" s="78"/>
      <c r="W289" s="80" t="str">
        <f aca="false">IF(OR(U289=0,N289=""), "", O289*ROUND(U289,0))</f>
        <v/>
      </c>
      <c r="X289" s="100" t="str">
        <f aca="false">IF(AND(N289="", U289&lt;&gt;""),"?",IF(AND(W289&lt;&gt;0,W289&lt;&gt;""), "р.", ""))</f>
        <v/>
      </c>
      <c r="Y289" s="82" t="str">
        <f aca="false">IF(AND(S289&gt;0,U289&gt;0), S289*ROUND(U289,0) / 1000, "")</f>
        <v/>
      </c>
      <c r="Z289" s="100" t="str">
        <f aca="false">IF(AND(Y289&lt;&gt;0,Y289&lt;&gt;""), "кг", "")</f>
        <v/>
      </c>
      <c r="AA289" s="10"/>
    </row>
    <row r="290" customFormat="false" ht="15" hidden="false" customHeight="true" outlineLevel="0" collapsed="false">
      <c r="B290" s="3"/>
      <c r="C290" s="85"/>
      <c r="D290" s="86" t="s">
        <v>372</v>
      </c>
      <c r="E290" s="86"/>
      <c r="F290" s="86"/>
      <c r="G290" s="86"/>
      <c r="H290" s="86"/>
      <c r="I290" s="87"/>
      <c r="J290" s="87"/>
      <c r="K290" s="86"/>
      <c r="L290" s="86"/>
      <c r="M290" s="171"/>
      <c r="N290" s="88"/>
      <c r="O290" s="88"/>
      <c r="R290" s="10"/>
      <c r="S290" s="89"/>
      <c r="T290" s="89"/>
      <c r="U290" s="90"/>
      <c r="V290" s="89"/>
      <c r="W290" s="91" t="str">
        <f aca="false">IF(OR(U290=0,N290=""), "", O290*ROUND(U290,0))</f>
        <v/>
      </c>
      <c r="X290" s="101" t="str">
        <f aca="false">IF(AND(N290="", U290&lt;&gt;""),"?",IF(AND(W290&lt;&gt;0,W290&lt;&gt;""), "р.", ""))</f>
        <v/>
      </c>
      <c r="Y290" s="93" t="str">
        <f aca="false">IF(AND(S290&gt;0,U290&gt;0), S290*ROUND(U290,0) / 1000, "")</f>
        <v/>
      </c>
      <c r="Z290" s="101" t="str">
        <f aca="false">IF(AND(Y290&lt;&gt;0,Y290&lt;&gt;""), "кг", "")</f>
        <v/>
      </c>
      <c r="AA290" s="10"/>
    </row>
    <row r="291" customFormat="false" ht="18.15" hidden="false" customHeight="true" outlineLevel="0" collapsed="false">
      <c r="B291" s="59"/>
      <c r="C291" s="62" t="str">
        <f aca="false">HYPERLINK("http://www.emi-penza.ru/p/354/", "644.3777-02 LED")</f>
        <v>644.3777-02 LED</v>
      </c>
      <c r="D291" s="63" t="s">
        <v>373</v>
      </c>
      <c r="E291" s="63"/>
      <c r="F291" s="63"/>
      <c r="G291" s="63" t="s">
        <v>309</v>
      </c>
      <c r="H291" s="63"/>
      <c r="I291" s="64" t="s">
        <v>327</v>
      </c>
      <c r="J291" s="64"/>
      <c r="K291" s="63" t="s">
        <v>374</v>
      </c>
      <c r="L291" s="63"/>
      <c r="M291" s="63"/>
      <c r="N291" s="65" t="n">
        <v>151</v>
      </c>
      <c r="O291" s="65" t="n">
        <f aca="false">ROUND(N291*1.2, 2)</f>
        <v>181.2</v>
      </c>
      <c r="R291" s="10"/>
      <c r="S291" s="66" t="n">
        <v>25</v>
      </c>
      <c r="T291" s="66"/>
      <c r="U291" s="67" t="n">
        <v>0</v>
      </c>
      <c r="V291" s="66"/>
      <c r="W291" s="72" t="str">
        <f aca="false">IF(OR(U291=0,N291=""), "", O291*ROUND(U291,0))</f>
        <v/>
      </c>
      <c r="X291" s="99" t="str">
        <f aca="false">IF(AND(N291="", U291&lt;&gt;""),"?",IF(AND(W291&lt;&gt;0,W291&lt;&gt;""), "р.", ""))</f>
        <v/>
      </c>
      <c r="Y291" s="70" t="str">
        <f aca="false">IF(AND(S291&gt;0,U291&gt;0), S291*ROUND(U291,0) / 1000, "")</f>
        <v/>
      </c>
      <c r="Z291" s="99" t="str">
        <f aca="false">IF(AND(Y291&lt;&gt;0,Y291&lt;&gt;""), "кг", "")</f>
        <v/>
      </c>
      <c r="AA291" s="10"/>
    </row>
    <row r="292" customFormat="false" ht="14.15" hidden="false" customHeight="true" outlineLevel="0" collapsed="false">
      <c r="B292" s="61" t="s">
        <v>20</v>
      </c>
      <c r="C292" s="74" t="str">
        <f aca="false">HYPERLINK("http://www.emi-penza.ru/p/644.3777-05", "644.3777-05")</f>
        <v>644.3777-05</v>
      </c>
      <c r="D292" s="175" t="s">
        <v>375</v>
      </c>
      <c r="E292" s="75"/>
      <c r="F292" s="75"/>
      <c r="G292" s="75" t="s">
        <v>309</v>
      </c>
      <c r="H292" s="75"/>
      <c r="I292" s="76" t="s">
        <v>310</v>
      </c>
      <c r="J292" s="76"/>
      <c r="K292" s="75" t="s">
        <v>376</v>
      </c>
      <c r="L292" s="75"/>
      <c r="M292" s="76"/>
      <c r="N292" s="77" t="n">
        <v>350</v>
      </c>
      <c r="O292" s="77" t="n">
        <f aca="false">ROUND(N292*1.2, 2)</f>
        <v>420</v>
      </c>
      <c r="R292" s="10"/>
      <c r="S292" s="78" t="n">
        <v>35</v>
      </c>
      <c r="T292" s="78"/>
      <c r="U292" s="79" t="n">
        <v>0</v>
      </c>
      <c r="V292" s="78"/>
      <c r="W292" s="80" t="str">
        <f aca="false">IF(OR(U292=0,N292=""), "", O292*ROUND(U292,0))</f>
        <v/>
      </c>
      <c r="X292" s="100" t="str">
        <f aca="false">IF(AND(N292="", U292&lt;&gt;""),"?",IF(AND(W292&lt;&gt;0,W292&lt;&gt;""), "р.", ""))</f>
        <v/>
      </c>
      <c r="Y292" s="82" t="str">
        <f aca="false">IF(AND(S292&gt;0,U292&gt;0), S292*ROUND(U292,0) / 1000, "")</f>
        <v/>
      </c>
      <c r="Z292" s="100" t="str">
        <f aca="false">IF(AND(Y292&lt;&gt;0,Y292&lt;&gt;""), "кг", "")</f>
        <v/>
      </c>
      <c r="AA292" s="10"/>
    </row>
    <row r="293" customFormat="false" ht="15" hidden="false" customHeight="true" outlineLevel="0" collapsed="false">
      <c r="B293" s="3"/>
      <c r="C293" s="116"/>
      <c r="D293" s="117"/>
      <c r="E293" s="117"/>
      <c r="F293" s="117"/>
      <c r="G293" s="117"/>
      <c r="H293" s="117"/>
      <c r="I293" s="118"/>
      <c r="J293" s="118"/>
      <c r="K293" s="117" t="s">
        <v>377</v>
      </c>
      <c r="L293" s="117"/>
      <c r="M293" s="118"/>
      <c r="N293" s="120"/>
      <c r="O293" s="120"/>
      <c r="R293" s="10"/>
      <c r="S293" s="121"/>
      <c r="T293" s="121"/>
      <c r="U293" s="122"/>
      <c r="V293" s="121"/>
      <c r="W293" s="123"/>
      <c r="X293" s="124"/>
      <c r="Y293" s="125"/>
      <c r="Z293" s="124"/>
      <c r="AA293" s="10"/>
    </row>
    <row r="294" customFormat="false" ht="9.95" hidden="false" customHeight="true" outlineLevel="0" collapsed="false">
      <c r="B294" s="3"/>
      <c r="R294" s="10"/>
      <c r="S294" s="136"/>
      <c r="T294" s="136"/>
      <c r="U294" s="137"/>
      <c r="V294" s="136"/>
      <c r="W294" s="12" t="str">
        <f aca="false">IF(OR(U294=0,N294=""), "", O294*ROUND(U294,0))</f>
        <v/>
      </c>
      <c r="X294" s="143" t="str">
        <f aca="false">IF(AND(N294="", U294&lt;&gt;""),"?",IF(AND(W294&lt;&gt;0,W294&lt;&gt;""), "р.", ""))</f>
        <v/>
      </c>
      <c r="Y294" s="14" t="str">
        <f aca="false">IF(AND(S294&gt;0,U294&gt;0), S294*ROUND(U294,0) / 1000, "")</f>
        <v/>
      </c>
      <c r="Z294" s="143" t="str">
        <f aca="false">IF(AND(Y294&lt;&gt;0,Y294&lt;&gt;""), "кг", "")</f>
        <v/>
      </c>
      <c r="AA294" s="10"/>
    </row>
    <row r="295" customFormat="false" ht="22.7" hidden="false" customHeight="true" outlineLevel="0" collapsed="false">
      <c r="B295" s="3"/>
      <c r="C295" s="51" t="s">
        <v>378</v>
      </c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3"/>
      <c r="O295" s="53"/>
      <c r="R295" s="10"/>
      <c r="S295" s="138"/>
      <c r="T295" s="138"/>
      <c r="U295" s="139"/>
      <c r="V295" s="138"/>
      <c r="W295" s="140" t="str">
        <f aca="false">IF(OR(U295=0,N295=""), "", O295*ROUND(U295,0))</f>
        <v/>
      </c>
      <c r="X295" s="141" t="str">
        <f aca="false">IF(AND(N295="", U295&lt;&gt;""),"?",IF(AND(W295&lt;&gt;0,W295&lt;&gt;""), "р.", ""))</f>
        <v/>
      </c>
      <c r="Y295" s="142" t="str">
        <f aca="false">IF(AND(S295&gt;0,U295&gt;0), S295*ROUND(U295,0) / 1000, "")</f>
        <v/>
      </c>
      <c r="Z295" s="141" t="str">
        <f aca="false">IF(AND(Y295&lt;&gt;0,Y295&lt;&gt;""), "кг", "")</f>
        <v/>
      </c>
      <c r="AA295" s="10"/>
    </row>
    <row r="296" customFormat="false" ht="2.85" hidden="false" customHeight="true" outlineLevel="0" collapsed="false">
      <c r="B296" s="3"/>
      <c r="R296" s="10"/>
      <c r="S296" s="136"/>
      <c r="T296" s="136"/>
      <c r="U296" s="137"/>
      <c r="V296" s="136"/>
      <c r="W296" s="12" t="str">
        <f aca="false">IF(OR(U296=0,N296=""), "", O296*ROUND(U296,0))</f>
        <v/>
      </c>
      <c r="X296" s="143" t="str">
        <f aca="false">IF(AND(N296="", U296&lt;&gt;""),"?",IF(AND(W296&lt;&gt;0,W296&lt;&gt;""), "р.", ""))</f>
        <v/>
      </c>
      <c r="Y296" s="14" t="str">
        <f aca="false">IF(AND(S296&gt;0,U296&gt;0), S296*ROUND(U296,0) / 1000, "")</f>
        <v/>
      </c>
      <c r="Z296" s="143" t="str">
        <f aca="false">IF(AND(Y296&lt;&gt;0,Y296&lt;&gt;""), "кг", "")</f>
        <v/>
      </c>
      <c r="AA296" s="10"/>
    </row>
    <row r="297" customFormat="false" ht="13.3" hidden="false" customHeight="true" outlineLevel="0" collapsed="false">
      <c r="B297" s="61" t="s">
        <v>20</v>
      </c>
      <c r="C297" s="60" t="s">
        <v>21</v>
      </c>
      <c r="R297" s="10"/>
      <c r="S297" s="136"/>
      <c r="T297" s="136"/>
      <c r="U297" s="137"/>
      <c r="V297" s="136"/>
      <c r="W297" s="12" t="str">
        <f aca="false">IF(OR(U297=0,N297=""), "", O297*ROUND(U297,0))</f>
        <v/>
      </c>
      <c r="X297" s="143" t="str">
        <f aca="false">IF(AND(N297="", U297&lt;&gt;""),"?",IF(AND(W297&lt;&gt;0,W297&lt;&gt;""), "р.", ""))</f>
        <v/>
      </c>
      <c r="Y297" s="14" t="str">
        <f aca="false">IF(AND(S297&gt;0,U297&gt;0), S297*ROUND(U297,0) / 1000, "")</f>
        <v/>
      </c>
      <c r="Z297" s="143" t="str">
        <f aca="false">IF(AND(Y297&lt;&gt;0,Y297&lt;&gt;""), "кг", "")</f>
        <v/>
      </c>
      <c r="AA297" s="10"/>
    </row>
    <row r="298" customFormat="false" ht="18.15" hidden="false" customHeight="true" outlineLevel="0" collapsed="false">
      <c r="B298" s="61"/>
      <c r="C298" s="62" t="str">
        <f aca="false">HYPERLINK("http://www.emi-penza.ru/p/BUK-01/", "БУК-01")</f>
        <v>БУК-01</v>
      </c>
      <c r="D298" s="63"/>
      <c r="E298" s="63"/>
      <c r="F298" s="63"/>
      <c r="G298" s="63" t="s">
        <v>379</v>
      </c>
      <c r="H298" s="63"/>
      <c r="I298" s="64" t="s">
        <v>327</v>
      </c>
      <c r="J298" s="64"/>
      <c r="K298" s="63" t="s">
        <v>380</v>
      </c>
      <c r="L298" s="63"/>
      <c r="M298" s="63"/>
      <c r="N298" s="65" t="n">
        <v>840</v>
      </c>
      <c r="O298" s="65" t="n">
        <f aca="false">ROUND(N298*1.2, 2)</f>
        <v>1008</v>
      </c>
      <c r="R298" s="10"/>
      <c r="S298" s="66" t="n">
        <v>98</v>
      </c>
      <c r="T298" s="66"/>
      <c r="U298" s="67" t="n">
        <v>0</v>
      </c>
      <c r="V298" s="66"/>
      <c r="W298" s="72" t="str">
        <f aca="false">IF(OR(U298=0,N298=""), "", O298*ROUND(U298,0))</f>
        <v/>
      </c>
      <c r="X298" s="99" t="str">
        <f aca="false">IF(AND(N298="", U298&lt;&gt;""),"?",IF(AND(W298&lt;&gt;0,W298&lt;&gt;""), "р.", ""))</f>
        <v/>
      </c>
      <c r="Y298" s="70" t="str">
        <f aca="false">IF(AND(S298&gt;0,U298&gt;0), S298*ROUND(U298,0) / 1000, "")</f>
        <v/>
      </c>
      <c r="Z298" s="99" t="str">
        <f aca="false">IF(AND(Y298&lt;&gt;0,Y298&lt;&gt;""), "кг", "")</f>
        <v/>
      </c>
      <c r="AA298" s="10"/>
    </row>
    <row r="299" customFormat="false" ht="14.15" hidden="false" customHeight="true" outlineLevel="0" collapsed="false">
      <c r="B299" s="73"/>
      <c r="C299" s="74" t="str">
        <f aca="false">HYPERLINK("http://www.emi-penza.ru/p/326/", "48.3787")</f>
        <v>48.3787</v>
      </c>
      <c r="D299" s="75" t="s">
        <v>381</v>
      </c>
      <c r="E299" s="75"/>
      <c r="F299" s="75"/>
      <c r="G299" s="75" t="s">
        <v>382</v>
      </c>
      <c r="H299" s="75"/>
      <c r="I299" s="76" t="s">
        <v>327</v>
      </c>
      <c r="J299" s="76"/>
      <c r="K299" s="75" t="s">
        <v>383</v>
      </c>
      <c r="L299" s="75"/>
      <c r="M299" s="75"/>
      <c r="N299" s="77" t="n">
        <v>103</v>
      </c>
      <c r="O299" s="77" t="n">
        <f aca="false">ROUND(N299*1.2, 2)</f>
        <v>123.6</v>
      </c>
      <c r="R299" s="10"/>
      <c r="S299" s="78" t="n">
        <v>20</v>
      </c>
      <c r="T299" s="78"/>
      <c r="U299" s="79" t="n">
        <v>0</v>
      </c>
      <c r="V299" s="78"/>
      <c r="W299" s="80" t="str">
        <f aca="false">IF(OR(U299=0,N299=""), "", O299*ROUND(U299,0))</f>
        <v/>
      </c>
      <c r="X299" s="100" t="str">
        <f aca="false">IF(AND(N299="", U299&lt;&gt;""),"?",IF(AND(W299&lt;&gt;0,W299&lt;&gt;""), "р.", ""))</f>
        <v/>
      </c>
      <c r="Y299" s="82" t="str">
        <f aca="false">IF(AND(S299&gt;0,U299&gt;0), S299*ROUND(U299,0) / 1000, "")</f>
        <v/>
      </c>
      <c r="Z299" s="100" t="str">
        <f aca="false">IF(AND(Y299&lt;&gt;0,Y299&lt;&gt;""), "кг", "")</f>
        <v/>
      </c>
      <c r="AA299" s="10"/>
    </row>
    <row r="300" customFormat="false" ht="15" hidden="false" customHeight="true" outlineLevel="0" collapsed="false">
      <c r="B300" s="84"/>
      <c r="C300" s="85"/>
      <c r="D300" s="86"/>
      <c r="E300" s="86"/>
      <c r="F300" s="86"/>
      <c r="G300" s="86"/>
      <c r="H300" s="86"/>
      <c r="I300" s="87"/>
      <c r="J300" s="87"/>
      <c r="K300" s="86"/>
      <c r="L300" s="86"/>
      <c r="M300" s="171" t="s">
        <v>249</v>
      </c>
      <c r="N300" s="88" t="n">
        <v>110</v>
      </c>
      <c r="O300" s="88" t="n">
        <f aca="false">ROUND(N300*1.2, 2)</f>
        <v>132</v>
      </c>
      <c r="R300" s="10"/>
      <c r="S300" s="89" t="n">
        <v>24</v>
      </c>
      <c r="T300" s="89"/>
      <c r="U300" s="90" t="n">
        <v>0</v>
      </c>
      <c r="V300" s="89"/>
      <c r="W300" s="91" t="str">
        <f aca="false">IF(OR(U300=0,N300=""), "", O300*ROUND(U300,0))</f>
        <v/>
      </c>
      <c r="X300" s="101" t="str">
        <f aca="false">IF(AND(N300="", U300&lt;&gt;""),"?",IF(AND(W300&lt;&gt;0,W300&lt;&gt;""), "р.", ""))</f>
        <v/>
      </c>
      <c r="Y300" s="93" t="str">
        <f aca="false">IF(AND(S300&gt;0,U300&gt;0), S300*ROUND(U300,0) / 1000, "")</f>
        <v/>
      </c>
      <c r="Z300" s="101" t="str">
        <f aca="false">IF(AND(Y300&lt;&gt;0,Y300&lt;&gt;""), "кг", "")</f>
        <v/>
      </c>
      <c r="AA300" s="10"/>
    </row>
    <row r="301" customFormat="false" ht="14.15" hidden="false" customHeight="true" outlineLevel="0" collapsed="false">
      <c r="B301" s="73"/>
      <c r="C301" s="74" t="str">
        <f aca="false">HYPERLINK("http://www.emi-penza.ru/p/359/", "48.3787-01")</f>
        <v>48.3787-01</v>
      </c>
      <c r="D301" s="1" t="s">
        <v>384</v>
      </c>
      <c r="E301" s="75"/>
      <c r="F301" s="75"/>
      <c r="G301" s="75" t="s">
        <v>382</v>
      </c>
      <c r="H301" s="75"/>
      <c r="I301" s="76" t="s">
        <v>327</v>
      </c>
      <c r="J301" s="76"/>
      <c r="K301" s="75" t="s">
        <v>385</v>
      </c>
      <c r="L301" s="75"/>
      <c r="M301" s="75"/>
      <c r="N301" s="77" t="n">
        <v>397</v>
      </c>
      <c r="O301" s="77" t="n">
        <f aca="false">ROUND(N301*1.2, 2)</f>
        <v>476.4</v>
      </c>
      <c r="R301" s="10"/>
      <c r="S301" s="78" t="n">
        <v>25</v>
      </c>
      <c r="T301" s="78"/>
      <c r="U301" s="79" t="n">
        <v>0</v>
      </c>
      <c r="V301" s="78"/>
      <c r="W301" s="80" t="str">
        <f aca="false">IF(OR(U301=0,N301=""), "", O301*ROUND(U301,0))</f>
        <v/>
      </c>
      <c r="X301" s="100" t="str">
        <f aca="false">IF(AND(N301="", U301&lt;&gt;""),"?",IF(AND(W301&lt;&gt;0,W301&lt;&gt;""), "р.", ""))</f>
        <v/>
      </c>
      <c r="Y301" s="82" t="str">
        <f aca="false">IF(AND(S301&gt;0,U301&gt;0), S301*ROUND(U301,0) / 1000, "")</f>
        <v/>
      </c>
      <c r="Z301" s="100" t="str">
        <f aca="false">IF(AND(Y301&lt;&gt;0,Y301&lt;&gt;""), "кг", "")</f>
        <v/>
      </c>
      <c r="AA301" s="10"/>
    </row>
    <row r="302" customFormat="false" ht="15" hidden="false" customHeight="true" outlineLevel="0" collapsed="false">
      <c r="B302" s="84"/>
      <c r="C302" s="85"/>
      <c r="D302" s="86" t="s">
        <v>386</v>
      </c>
      <c r="E302" s="86"/>
      <c r="F302" s="86"/>
      <c r="G302" s="86" t="s">
        <v>387</v>
      </c>
      <c r="H302" s="86"/>
      <c r="I302" s="87"/>
      <c r="J302" s="87"/>
      <c r="K302" s="86" t="s">
        <v>388</v>
      </c>
      <c r="L302" s="86"/>
      <c r="M302" s="171"/>
      <c r="N302" s="88"/>
      <c r="O302" s="88"/>
      <c r="R302" s="10"/>
      <c r="S302" s="89"/>
      <c r="T302" s="89"/>
      <c r="U302" s="90"/>
      <c r="V302" s="89"/>
      <c r="W302" s="91" t="str">
        <f aca="false">IF(OR(U302=0,N302=""), "", O302*ROUND(U302,0))</f>
        <v/>
      </c>
      <c r="X302" s="101" t="str">
        <f aca="false">IF(AND(N302="", U302&lt;&gt;""),"?",IF(AND(W302&lt;&gt;0,W302&lt;&gt;""), "р.", ""))</f>
        <v/>
      </c>
      <c r="Y302" s="93" t="str">
        <f aca="false">IF(AND(S302&gt;0,U302&gt;0), S302*ROUND(U302,0) / 1000, "")</f>
        <v/>
      </c>
      <c r="Z302" s="101" t="str">
        <f aca="false">IF(AND(Y302&lt;&gt;0,Y302&lt;&gt;""), "кг", "")</f>
        <v/>
      </c>
      <c r="AA302" s="10"/>
    </row>
    <row r="303" customFormat="false" ht="15" hidden="false" customHeight="true" outlineLevel="0" collapsed="false">
      <c r="B303" s="61" t="s">
        <v>20</v>
      </c>
      <c r="C303" s="62" t="str">
        <f aca="false">HYPERLINK("http://www.emi-penza.ru/p/48.3787-03", "48.3787-03")</f>
        <v>48.3787-03</v>
      </c>
      <c r="D303" s="63" t="s">
        <v>381</v>
      </c>
      <c r="E303" s="63"/>
      <c r="F303" s="63"/>
      <c r="G303" s="63" t="s">
        <v>382</v>
      </c>
      <c r="H303" s="63"/>
      <c r="I303" s="64" t="s">
        <v>327</v>
      </c>
      <c r="J303" s="64"/>
      <c r="K303" s="63" t="s">
        <v>389</v>
      </c>
      <c r="L303" s="63"/>
      <c r="M303" s="63"/>
      <c r="N303" s="65" t="n">
        <v>219</v>
      </c>
      <c r="O303" s="65" t="n">
        <f aca="false">ROUND(N303*1.2, 2)</f>
        <v>262.8</v>
      </c>
      <c r="R303" s="10"/>
      <c r="S303" s="89" t="n">
        <v>40</v>
      </c>
      <c r="T303" s="66"/>
      <c r="U303" s="67" t="n">
        <v>0</v>
      </c>
      <c r="V303" s="66"/>
      <c r="W303" s="72" t="str">
        <f aca="false">IF(OR(U303=0,N303=""), "", O303*ROUND(U303,0))</f>
        <v/>
      </c>
      <c r="X303" s="99" t="str">
        <f aca="false">IF(AND(N303="", U303&lt;&gt;""),"?",IF(AND(W303&lt;&gt;0,W303&lt;&gt;""), "р.", ""))</f>
        <v/>
      </c>
      <c r="Y303" s="70" t="str">
        <f aca="false">IF(AND(S303&gt;0,U303&gt;0), S303*ROUND(U303,0) / 1000, "")</f>
        <v/>
      </c>
      <c r="Z303" s="99" t="str">
        <f aca="false">IF(AND(Y303&lt;&gt;0,Y303&lt;&gt;""), "кг", "")</f>
        <v/>
      </c>
      <c r="AA303" s="10"/>
    </row>
    <row r="304" customFormat="false" ht="18.15" hidden="false" customHeight="true" outlineLevel="0" collapsed="false">
      <c r="B304" s="61"/>
      <c r="C304" s="62" t="str">
        <f aca="false">HYPERLINK("http://www.emi-penza.ru/p/337/", "48.3787-04")</f>
        <v>48.3787-04</v>
      </c>
      <c r="D304" s="63" t="s">
        <v>390</v>
      </c>
      <c r="E304" s="63"/>
      <c r="F304" s="63"/>
      <c r="G304" s="63" t="s">
        <v>382</v>
      </c>
      <c r="H304" s="63"/>
      <c r="I304" s="64" t="s">
        <v>327</v>
      </c>
      <c r="J304" s="64"/>
      <c r="K304" s="63" t="s">
        <v>391</v>
      </c>
      <c r="L304" s="63"/>
      <c r="M304" s="63"/>
      <c r="N304" s="65" t="n">
        <v>225</v>
      </c>
      <c r="O304" s="65" t="n">
        <f aca="false">ROUND(N304*1.2, 2)</f>
        <v>270</v>
      </c>
      <c r="R304" s="10"/>
      <c r="S304" s="66" t="n">
        <v>35</v>
      </c>
      <c r="T304" s="66"/>
      <c r="U304" s="67" t="n">
        <v>0</v>
      </c>
      <c r="V304" s="66"/>
      <c r="W304" s="72" t="str">
        <f aca="false">IF(OR(U304=0,N304=""), "", O304*ROUND(U304,0))</f>
        <v/>
      </c>
      <c r="X304" s="99" t="str">
        <f aca="false">IF(AND(N304="", U304&lt;&gt;""),"?",IF(AND(W304&lt;&gt;0,W304&lt;&gt;""), "р.", ""))</f>
        <v/>
      </c>
      <c r="Y304" s="70" t="str">
        <f aca="false">IF(AND(S304&gt;0,U304&gt;0), S304*ROUND(U304,0) / 1000, "")</f>
        <v/>
      </c>
      <c r="Z304" s="99" t="str">
        <f aca="false">IF(AND(Y304&lt;&gt;0,Y304&lt;&gt;""), "кг", "")</f>
        <v/>
      </c>
      <c r="AA304" s="10"/>
    </row>
    <row r="305" customFormat="false" ht="18.15" hidden="false" customHeight="true" outlineLevel="0" collapsed="false">
      <c r="B305" s="61"/>
      <c r="C305" s="62" t="str">
        <f aca="false">HYPERLINK("http://www.emi-penza.ru/p/412/", "48.3787-05")</f>
        <v>48.3787-05</v>
      </c>
      <c r="D305" s="63" t="s">
        <v>392</v>
      </c>
      <c r="E305" s="63"/>
      <c r="F305" s="63"/>
      <c r="G305" s="63" t="s">
        <v>382</v>
      </c>
      <c r="H305" s="63"/>
      <c r="I305" s="64" t="s">
        <v>327</v>
      </c>
      <c r="J305" s="64"/>
      <c r="K305" s="63" t="s">
        <v>393</v>
      </c>
      <c r="L305" s="63"/>
      <c r="M305" s="63"/>
      <c r="N305" s="65" t="n">
        <v>96</v>
      </c>
      <c r="O305" s="65" t="n">
        <f aca="false">ROUND(N305*1.2, 2)</f>
        <v>115.2</v>
      </c>
      <c r="R305" s="10"/>
      <c r="S305" s="66" t="n">
        <v>60</v>
      </c>
      <c r="T305" s="66"/>
      <c r="U305" s="67" t="n">
        <v>0</v>
      </c>
      <c r="V305" s="66"/>
      <c r="W305" s="72" t="str">
        <f aca="false">IF(OR(U305=0,N305=""), "", O305*ROUND(U305,0))</f>
        <v/>
      </c>
      <c r="X305" s="99" t="str">
        <f aca="false">IF(AND(N305="", U305&lt;&gt;""),"?",IF(AND(W305&lt;&gt;0,W305&lt;&gt;""), "р.", ""))</f>
        <v/>
      </c>
      <c r="Y305" s="70" t="str">
        <f aca="false">IF(AND(S305&gt;0,U305&gt;0), S305*ROUND(U305,0) / 1000, "")</f>
        <v/>
      </c>
      <c r="Z305" s="99" t="str">
        <f aca="false">IF(AND(Y305&lt;&gt;0,Y305&lt;&gt;""), "кг", "")</f>
        <v/>
      </c>
      <c r="AA305" s="10"/>
    </row>
    <row r="306" customFormat="false" ht="14.15" hidden="false" customHeight="true" outlineLevel="0" collapsed="false">
      <c r="B306" s="73"/>
      <c r="C306" s="74" t="str">
        <f aca="false">HYPERLINK("http://www.emi-penza.ru/p/414/", "48.3787-07")</f>
        <v>48.3787-07</v>
      </c>
      <c r="D306" s="1" t="s">
        <v>394</v>
      </c>
      <c r="E306" s="75"/>
      <c r="F306" s="75"/>
      <c r="G306" s="75" t="s">
        <v>382</v>
      </c>
      <c r="H306" s="75"/>
      <c r="I306" s="76" t="s">
        <v>327</v>
      </c>
      <c r="J306" s="76"/>
      <c r="K306" s="75" t="s">
        <v>395</v>
      </c>
      <c r="L306" s="75"/>
      <c r="M306" s="75"/>
      <c r="N306" s="77" t="n">
        <v>397</v>
      </c>
      <c r="O306" s="77" t="n">
        <f aca="false">ROUND(N306*1.2, 2)</f>
        <v>476.4</v>
      </c>
      <c r="R306" s="10"/>
      <c r="S306" s="78" t="n">
        <v>25</v>
      </c>
      <c r="T306" s="78"/>
      <c r="U306" s="79" t="n">
        <v>0</v>
      </c>
      <c r="V306" s="78"/>
      <c r="W306" s="80" t="str">
        <f aca="false">IF(OR(U306=0,N306=""), "", O306*ROUND(U306,0))</f>
        <v/>
      </c>
      <c r="X306" s="100" t="str">
        <f aca="false">IF(AND(N306="", U306&lt;&gt;""),"?",IF(AND(W306&lt;&gt;0,W306&lt;&gt;""), "р.", ""))</f>
        <v/>
      </c>
      <c r="Y306" s="82" t="str">
        <f aca="false">IF(AND(S306&gt;0,U306&gt;0), S306*ROUND(U306,0) / 1000, "")</f>
        <v/>
      </c>
      <c r="Z306" s="100" t="str">
        <f aca="false">IF(AND(Y306&lt;&gt;0,Y306&lt;&gt;""), "кг", "")</f>
        <v/>
      </c>
      <c r="AA306" s="10"/>
    </row>
    <row r="307" customFormat="false" ht="15" hidden="false" customHeight="true" outlineLevel="0" collapsed="false">
      <c r="B307" s="84"/>
      <c r="C307" s="85"/>
      <c r="D307" s="86" t="s">
        <v>396</v>
      </c>
      <c r="E307" s="86"/>
      <c r="F307" s="86"/>
      <c r="G307" s="86" t="s">
        <v>387</v>
      </c>
      <c r="H307" s="86"/>
      <c r="I307" s="87"/>
      <c r="J307" s="87"/>
      <c r="K307" s="86" t="s">
        <v>397</v>
      </c>
      <c r="L307" s="86"/>
      <c r="M307" s="171"/>
      <c r="N307" s="88"/>
      <c r="O307" s="88"/>
      <c r="R307" s="10"/>
      <c r="S307" s="89"/>
      <c r="T307" s="89"/>
      <c r="U307" s="90"/>
      <c r="V307" s="89"/>
      <c r="W307" s="91" t="str">
        <f aca="false">IF(OR(U307=0,N307=""), "", O307*ROUND(U307,0))</f>
        <v/>
      </c>
      <c r="X307" s="101" t="str">
        <f aca="false">IF(AND(N307="", U307&lt;&gt;""),"?",IF(AND(W307&lt;&gt;0,W307&lt;&gt;""), "р.", ""))</f>
        <v/>
      </c>
      <c r="Y307" s="93" t="str">
        <f aca="false">IF(AND(S307&gt;0,U307&gt;0), S307*ROUND(U307,0) / 1000, "")</f>
        <v/>
      </c>
      <c r="Z307" s="101" t="str">
        <f aca="false">IF(AND(Y307&lt;&gt;0,Y307&lt;&gt;""), "кг", "")</f>
        <v/>
      </c>
      <c r="AA307" s="10"/>
    </row>
    <row r="308" customFormat="false" ht="18.15" hidden="false" customHeight="true" outlineLevel="0" collapsed="false">
      <c r="B308" s="61"/>
      <c r="C308" s="62" t="str">
        <f aca="false">HYPERLINK("http://www.emi-penza.ru/p/309/", "58.3777")</f>
        <v>58.3777</v>
      </c>
      <c r="D308" s="63" t="s">
        <v>398</v>
      </c>
      <c r="E308" s="63"/>
      <c r="F308" s="63"/>
      <c r="G308" s="63" t="s">
        <v>382</v>
      </c>
      <c r="H308" s="63"/>
      <c r="I308" s="64" t="s">
        <v>310</v>
      </c>
      <c r="J308" s="64"/>
      <c r="K308" s="63" t="s">
        <v>116</v>
      </c>
      <c r="L308" s="63"/>
      <c r="M308" s="63"/>
      <c r="N308" s="65" t="n">
        <v>191</v>
      </c>
      <c r="O308" s="65" t="n">
        <f aca="false">ROUND(N308*1.2, 2)</f>
        <v>229.2</v>
      </c>
      <c r="R308" s="10"/>
      <c r="S308" s="66" t="n">
        <v>90</v>
      </c>
      <c r="T308" s="66"/>
      <c r="U308" s="67" t="n">
        <v>0</v>
      </c>
      <c r="V308" s="66"/>
      <c r="W308" s="72" t="str">
        <f aca="false">IF(OR(U308=0,N308=""), "", O308*ROUND(U308,0))</f>
        <v/>
      </c>
      <c r="X308" s="99" t="str">
        <f aca="false">IF(AND(N308="", U308&lt;&gt;""),"?",IF(AND(W308&lt;&gt;0,W308&lt;&gt;""), "р.", ""))</f>
        <v/>
      </c>
      <c r="Y308" s="70" t="str">
        <f aca="false">IF(AND(S308&gt;0,U308&gt;0), S308*ROUND(U308,0) / 1000, "")</f>
        <v/>
      </c>
      <c r="Z308" s="99" t="str">
        <f aca="false">IF(AND(Y308&lt;&gt;0,Y308&lt;&gt;""), "кг", "")</f>
        <v/>
      </c>
      <c r="AA308" s="10"/>
    </row>
    <row r="309" customFormat="false" ht="18.15" hidden="false" customHeight="true" outlineLevel="0" collapsed="false">
      <c r="B309" s="61"/>
      <c r="C309" s="62" t="str">
        <f aca="false">HYPERLINK("http://www.emi-penza.ru/p/310/", "58.3777-01")</f>
        <v>58.3777-01</v>
      </c>
      <c r="D309" s="63" t="s">
        <v>399</v>
      </c>
      <c r="E309" s="63"/>
      <c r="F309" s="63"/>
      <c r="G309" s="63" t="s">
        <v>382</v>
      </c>
      <c r="H309" s="63"/>
      <c r="I309" s="64" t="s">
        <v>310</v>
      </c>
      <c r="J309" s="64"/>
      <c r="K309" s="63" t="s">
        <v>400</v>
      </c>
      <c r="L309" s="63"/>
      <c r="M309" s="63"/>
      <c r="N309" s="65" t="n">
        <v>227</v>
      </c>
      <c r="O309" s="65" t="n">
        <f aca="false">ROUND(N309*1.2, 2)</f>
        <v>272.4</v>
      </c>
      <c r="R309" s="10"/>
      <c r="S309" s="66" t="n">
        <v>90</v>
      </c>
      <c r="T309" s="66"/>
      <c r="U309" s="67" t="n">
        <v>0</v>
      </c>
      <c r="V309" s="66"/>
      <c r="W309" s="72" t="str">
        <f aca="false">IF(OR(U309=0,N309=""), "", O309*ROUND(U309,0))</f>
        <v/>
      </c>
      <c r="X309" s="99" t="str">
        <f aca="false">IF(AND(N309="", U309&lt;&gt;""),"?",IF(AND(W309&lt;&gt;0,W309&lt;&gt;""), "р.", ""))</f>
        <v/>
      </c>
      <c r="Y309" s="70" t="str">
        <f aca="false">IF(AND(S309&gt;0,U309&gt;0), S309*ROUND(U309,0) / 1000, "")</f>
        <v/>
      </c>
      <c r="Z309" s="99" t="str">
        <f aca="false">IF(AND(Y309&lt;&gt;0,Y309&lt;&gt;""), "кг", "")</f>
        <v/>
      </c>
      <c r="AA309" s="10"/>
    </row>
    <row r="310" customFormat="false" ht="18.15" hidden="false" customHeight="true" outlineLevel="0" collapsed="false">
      <c r="B310" s="61"/>
      <c r="C310" s="62" t="str">
        <f aca="false">HYPERLINK("http://www.emi-penza.ru/p/318/", "58.3777-02")</f>
        <v>58.3777-02</v>
      </c>
      <c r="D310" s="63" t="s">
        <v>401</v>
      </c>
      <c r="E310" s="63"/>
      <c r="F310" s="63"/>
      <c r="G310" s="63" t="s">
        <v>382</v>
      </c>
      <c r="H310" s="63"/>
      <c r="I310" s="64" t="s">
        <v>310</v>
      </c>
      <c r="J310" s="64"/>
      <c r="K310" s="63" t="s">
        <v>174</v>
      </c>
      <c r="L310" s="63"/>
      <c r="M310" s="63"/>
      <c r="N310" s="65" t="n">
        <v>217</v>
      </c>
      <c r="O310" s="65" t="n">
        <f aca="false">ROUND(N310*1.2, 2)</f>
        <v>260.4</v>
      </c>
      <c r="R310" s="10"/>
      <c r="S310" s="66" t="n">
        <v>45</v>
      </c>
      <c r="T310" s="66"/>
      <c r="U310" s="67" t="n">
        <v>0</v>
      </c>
      <c r="V310" s="66"/>
      <c r="W310" s="72" t="str">
        <f aca="false">IF(OR(U310=0,N310=""), "", O310*ROUND(U310,0))</f>
        <v/>
      </c>
      <c r="X310" s="99" t="str">
        <f aca="false">IF(AND(N310="", U310&lt;&gt;""),"?",IF(AND(W310&lt;&gt;0,W310&lt;&gt;""), "р.", ""))</f>
        <v/>
      </c>
      <c r="Y310" s="70" t="str">
        <f aca="false">IF(AND(S310&gt;0,U310&gt;0), S310*ROUND(U310,0) / 1000, "")</f>
        <v/>
      </c>
      <c r="Z310" s="99" t="str">
        <f aca="false">IF(AND(Y310&lt;&gt;0,Y310&lt;&gt;""), "кг", "")</f>
        <v/>
      </c>
      <c r="AA310" s="10"/>
    </row>
    <row r="311" customFormat="false" ht="18.15" hidden="false" customHeight="true" outlineLevel="0" collapsed="false">
      <c r="B311" s="61"/>
      <c r="C311" s="62" t="str">
        <f aca="false">HYPERLINK("http://www.emi-penza.ru/p/339/", "58.3777-03")</f>
        <v>58.3777-03</v>
      </c>
      <c r="D311" s="63" t="s">
        <v>402</v>
      </c>
      <c r="E311" s="63"/>
      <c r="F311" s="63"/>
      <c r="G311" s="63" t="s">
        <v>382</v>
      </c>
      <c r="H311" s="63"/>
      <c r="I311" s="64" t="s">
        <v>310</v>
      </c>
      <c r="J311" s="64"/>
      <c r="K311" s="63" t="s">
        <v>403</v>
      </c>
      <c r="L311" s="63"/>
      <c r="M311" s="63"/>
      <c r="N311" s="65" t="n">
        <v>160</v>
      </c>
      <c r="O311" s="65" t="n">
        <f aca="false">ROUND(N311*1.2, 2)</f>
        <v>192</v>
      </c>
      <c r="R311" s="10"/>
      <c r="S311" s="66" t="n">
        <v>45</v>
      </c>
      <c r="T311" s="66"/>
      <c r="U311" s="67" t="n">
        <v>0</v>
      </c>
      <c r="V311" s="66"/>
      <c r="W311" s="72" t="str">
        <f aca="false">IF(OR(U311=0,N311=""), "", O311*ROUND(U311,0))</f>
        <v/>
      </c>
      <c r="X311" s="99" t="str">
        <f aca="false">IF(AND(N311="", U311&lt;&gt;""),"?",IF(AND(W311&lt;&gt;0,W311&lt;&gt;""), "р.", ""))</f>
        <v/>
      </c>
      <c r="Y311" s="70" t="str">
        <f aca="false">IF(AND(S311&gt;0,U311&gt;0), S311*ROUND(U311,0) / 1000, "")</f>
        <v/>
      </c>
      <c r="Z311" s="99" t="str">
        <f aca="false">IF(AND(Y311&lt;&gt;0,Y311&lt;&gt;""), "кг", "")</f>
        <v/>
      </c>
      <c r="AA311" s="10"/>
    </row>
    <row r="312" customFormat="false" ht="18.15" hidden="false" customHeight="true" outlineLevel="0" collapsed="false">
      <c r="B312" s="61"/>
      <c r="C312" s="62" t="str">
        <f aca="false">HYPERLINK("http://www.emi-penza.ru/p/360/", "58.3777-04")</f>
        <v>58.3777-04</v>
      </c>
      <c r="D312" s="63" t="s">
        <v>404</v>
      </c>
      <c r="E312" s="63"/>
      <c r="F312" s="63"/>
      <c r="G312" s="63" t="s">
        <v>382</v>
      </c>
      <c r="H312" s="63"/>
      <c r="I312" s="64" t="s">
        <v>310</v>
      </c>
      <c r="J312" s="64"/>
      <c r="K312" s="63" t="s">
        <v>405</v>
      </c>
      <c r="L312" s="63"/>
      <c r="M312" s="63"/>
      <c r="N312" s="65" t="n">
        <v>830</v>
      </c>
      <c r="O312" s="65" t="n">
        <f aca="false">ROUND(N312*1.2, 2)</f>
        <v>996</v>
      </c>
      <c r="R312" s="10"/>
      <c r="S312" s="66" t="n">
        <v>38</v>
      </c>
      <c r="T312" s="66"/>
      <c r="U312" s="67" t="n">
        <v>0</v>
      </c>
      <c r="V312" s="66"/>
      <c r="W312" s="72" t="str">
        <f aca="false">IF(OR(U312=0,N312=""), "", O312*ROUND(U312,0))</f>
        <v/>
      </c>
      <c r="X312" s="99" t="str">
        <f aca="false">IF(AND(N312="", U312&lt;&gt;""),"?",IF(AND(W312&lt;&gt;0,W312&lt;&gt;""), "р.", ""))</f>
        <v/>
      </c>
      <c r="Y312" s="70" t="str">
        <f aca="false">IF(AND(S312&gt;0,U312&gt;0), S312*ROUND(U312,0) / 1000, "")</f>
        <v/>
      </c>
      <c r="Z312" s="99" t="str">
        <f aca="false">IF(AND(Y312&lt;&gt;0,Y312&lt;&gt;""), "кг", "")</f>
        <v/>
      </c>
      <c r="AA312" s="10"/>
    </row>
    <row r="313" customFormat="false" ht="18.15" hidden="false" customHeight="true" outlineLevel="0" collapsed="false">
      <c r="B313" s="61"/>
      <c r="C313" s="62" t="str">
        <f aca="false">HYPERLINK("http://www.emi-penza.ru/p/58.3777-05/", "58.3777-05")</f>
        <v>58.3777-05</v>
      </c>
      <c r="D313" s="63" t="s">
        <v>406</v>
      </c>
      <c r="E313" s="63"/>
      <c r="F313" s="63"/>
      <c r="G313" s="63" t="s">
        <v>382</v>
      </c>
      <c r="H313" s="63"/>
      <c r="I313" s="64" t="s">
        <v>310</v>
      </c>
      <c r="J313" s="64"/>
      <c r="K313" s="63" t="s">
        <v>407</v>
      </c>
      <c r="L313" s="63"/>
      <c r="M313" s="63"/>
      <c r="N313" s="65" t="n">
        <v>280</v>
      </c>
      <c r="O313" s="65" t="n">
        <f aca="false">ROUND(N313*1.2, 2)</f>
        <v>336</v>
      </c>
      <c r="R313" s="10"/>
      <c r="S313" s="66" t="n">
        <v>38</v>
      </c>
      <c r="T313" s="66"/>
      <c r="U313" s="67" t="n">
        <v>0</v>
      </c>
      <c r="V313" s="66"/>
      <c r="W313" s="72" t="str">
        <f aca="false">IF(OR(U313=0,N313=""), "", O313*ROUND(U313,0))</f>
        <v/>
      </c>
      <c r="X313" s="99" t="str">
        <f aca="false">IF(AND(N313="", U313&lt;&gt;""),"?",IF(AND(W313&lt;&gt;0,W313&lt;&gt;""), "р.", ""))</f>
        <v/>
      </c>
      <c r="Y313" s="70" t="str">
        <f aca="false">IF(AND(S313&gt;0,U313&gt;0), S313*ROUND(U313,0) / 1000, "")</f>
        <v/>
      </c>
      <c r="Z313" s="99" t="str">
        <f aca="false">IF(AND(Y313&lt;&gt;0,Y313&lt;&gt;""), "кг", "")</f>
        <v/>
      </c>
      <c r="AA313" s="10"/>
    </row>
    <row r="314" customFormat="false" ht="18.15" hidden="false" customHeight="true" outlineLevel="0" collapsed="false">
      <c r="B314" s="61" t="s">
        <v>20</v>
      </c>
      <c r="C314" s="62" t="str">
        <f aca="false">HYPERLINK("http://www.emi-penza.ru/p/58.3777-06", "58.3777-06")</f>
        <v>58.3777-06</v>
      </c>
      <c r="D314" s="63" t="s">
        <v>408</v>
      </c>
      <c r="E314" s="63"/>
      <c r="F314" s="63"/>
      <c r="G314" s="63" t="s">
        <v>382</v>
      </c>
      <c r="H314" s="63"/>
      <c r="I314" s="64" t="s">
        <v>310</v>
      </c>
      <c r="J314" s="64"/>
      <c r="K314" s="63" t="s">
        <v>409</v>
      </c>
      <c r="L314" s="63"/>
      <c r="M314" s="63"/>
      <c r="N314" s="65" t="n">
        <v>720</v>
      </c>
      <c r="O314" s="65" t="n">
        <f aca="false">ROUND(N314*1.2, 2)</f>
        <v>864</v>
      </c>
      <c r="R314" s="10"/>
      <c r="S314" s="66" t="n">
        <v>45</v>
      </c>
      <c r="T314" s="66"/>
      <c r="U314" s="67" t="n">
        <v>0</v>
      </c>
      <c r="V314" s="66"/>
      <c r="W314" s="72" t="str">
        <f aca="false">IF(OR(U314=0,N314=""), "", O314*ROUND(U314,0))</f>
        <v/>
      </c>
      <c r="X314" s="99" t="str">
        <f aca="false">IF(AND(N314="", U314&lt;&gt;""),"?",IF(AND(W314&lt;&gt;0,W314&lt;&gt;""), "р.", ""))</f>
        <v/>
      </c>
      <c r="Y314" s="70" t="str">
        <f aca="false">IF(AND(S314&gt;0,U314&gt;0), S314*ROUND(U314,0) / 1000, "")</f>
        <v/>
      </c>
      <c r="Z314" s="99" t="str">
        <f aca="false">IF(AND(Y314&lt;&gt;0,Y314&lt;&gt;""), "кг", "")</f>
        <v/>
      </c>
      <c r="AA314" s="10"/>
    </row>
    <row r="315" customFormat="false" ht="18.15" hidden="false" customHeight="true" outlineLevel="0" collapsed="false">
      <c r="B315" s="61"/>
      <c r="C315" s="62" t="str">
        <f aca="false">HYPERLINK("http://www.emi-penza.ru/p/328/", "58.3787")</f>
        <v>58.3787</v>
      </c>
      <c r="D315" s="63" t="s">
        <v>410</v>
      </c>
      <c r="E315" s="63"/>
      <c r="F315" s="63"/>
      <c r="G315" s="63" t="s">
        <v>411</v>
      </c>
      <c r="H315" s="63"/>
      <c r="I315" s="64" t="s">
        <v>327</v>
      </c>
      <c r="J315" s="64"/>
      <c r="K315" s="63" t="s">
        <v>412</v>
      </c>
      <c r="L315" s="63"/>
      <c r="M315" s="63"/>
      <c r="N315" s="65" t="n">
        <v>161</v>
      </c>
      <c r="O315" s="65" t="n">
        <f aca="false">ROUND(N315*1.2, 2)</f>
        <v>193.2</v>
      </c>
      <c r="R315" s="10"/>
      <c r="S315" s="66" t="n">
        <v>60</v>
      </c>
      <c r="T315" s="66"/>
      <c r="U315" s="67" t="n">
        <v>0</v>
      </c>
      <c r="V315" s="66"/>
      <c r="W315" s="72" t="str">
        <f aca="false">IF(OR(U315=0,N315=""), "", O315*ROUND(U315,0))</f>
        <v/>
      </c>
      <c r="X315" s="99" t="str">
        <f aca="false">IF(AND(N315="", U315&lt;&gt;""),"?",IF(AND(W315&lt;&gt;0,W315&lt;&gt;""), "р.", ""))</f>
        <v/>
      </c>
      <c r="Y315" s="70" t="str">
        <f aca="false">IF(AND(S315&gt;0,U315&gt;0), S315*ROUND(U315,0) / 1000, "")</f>
        <v/>
      </c>
      <c r="Z315" s="99" t="str">
        <f aca="false">IF(AND(Y315&lt;&gt;0,Y315&lt;&gt;""), "кг", "")</f>
        <v/>
      </c>
      <c r="AA315" s="10"/>
    </row>
    <row r="316" customFormat="false" ht="18.15" hidden="false" customHeight="true" outlineLevel="0" collapsed="false">
      <c r="B316" s="61"/>
      <c r="C316" s="62" t="str">
        <f aca="false">HYPERLINK("http://www.emi-penza.ru/p/329/", "58.3787-01")</f>
        <v>58.3787-01</v>
      </c>
      <c r="D316" s="63" t="s">
        <v>413</v>
      </c>
      <c r="E316" s="63"/>
      <c r="F316" s="63"/>
      <c r="G316" s="63" t="s">
        <v>411</v>
      </c>
      <c r="H316" s="63"/>
      <c r="I316" s="64" t="s">
        <v>310</v>
      </c>
      <c r="J316" s="64"/>
      <c r="K316" s="63" t="s">
        <v>412</v>
      </c>
      <c r="L316" s="63"/>
      <c r="M316" s="63"/>
      <c r="N316" s="65" t="n">
        <v>179</v>
      </c>
      <c r="O316" s="65" t="n">
        <f aca="false">ROUND(N316*1.2, 2)</f>
        <v>214.8</v>
      </c>
      <c r="R316" s="10"/>
      <c r="S316" s="66" t="n">
        <v>60</v>
      </c>
      <c r="T316" s="66"/>
      <c r="U316" s="67" t="n">
        <v>0</v>
      </c>
      <c r="V316" s="66"/>
      <c r="W316" s="72" t="str">
        <f aca="false">IF(OR(U316=0,N316=""), "", O316*ROUND(U316,0))</f>
        <v/>
      </c>
      <c r="X316" s="99" t="str">
        <f aca="false">IF(AND(N316="", U316&lt;&gt;""),"?",IF(AND(W316&lt;&gt;0,W316&lt;&gt;""), "р.", ""))</f>
        <v/>
      </c>
      <c r="Y316" s="70" t="str">
        <f aca="false">IF(AND(S316&gt;0,U316&gt;0), S316*ROUND(U316,0) / 1000, "")</f>
        <v/>
      </c>
      <c r="Z316" s="99" t="str">
        <f aca="false">IF(AND(Y316&lt;&gt;0,Y316&lt;&gt;""), "кг", "")</f>
        <v/>
      </c>
      <c r="AA316" s="10"/>
    </row>
    <row r="317" customFormat="false" ht="18.15" hidden="false" customHeight="true" outlineLevel="0" collapsed="false">
      <c r="B317" s="61"/>
      <c r="C317" s="62" t="str">
        <f aca="false">HYPERLINK("http://www.emi-penza.ru/p/338/", "58.3787-02")</f>
        <v>58.3787-02</v>
      </c>
      <c r="D317" s="63" t="s">
        <v>414</v>
      </c>
      <c r="E317" s="63"/>
      <c r="F317" s="63"/>
      <c r="G317" s="63" t="s">
        <v>411</v>
      </c>
      <c r="H317" s="63"/>
      <c r="I317" s="64" t="s">
        <v>327</v>
      </c>
      <c r="J317" s="64"/>
      <c r="K317" s="63" t="s">
        <v>415</v>
      </c>
      <c r="L317" s="63"/>
      <c r="M317" s="63"/>
      <c r="N317" s="65" t="n">
        <v>127</v>
      </c>
      <c r="O317" s="65" t="n">
        <f aca="false">ROUND(N317*1.2, 2)</f>
        <v>152.4</v>
      </c>
      <c r="R317" s="10"/>
      <c r="S317" s="66" t="n">
        <v>45</v>
      </c>
      <c r="T317" s="66"/>
      <c r="U317" s="67" t="n">
        <v>0</v>
      </c>
      <c r="V317" s="66"/>
      <c r="W317" s="72" t="str">
        <f aca="false">IF(OR(U317=0,N317=""), "", O317*ROUND(U317,0))</f>
        <v/>
      </c>
      <c r="X317" s="99" t="str">
        <f aca="false">IF(AND(N317="", U317&lt;&gt;""),"?",IF(AND(W317&lt;&gt;0,W317&lt;&gt;""), "р.", ""))</f>
        <v/>
      </c>
      <c r="Y317" s="70" t="str">
        <f aca="false">IF(AND(S317&gt;0,U317&gt;0), S317*ROUND(U317,0) / 1000, "")</f>
        <v/>
      </c>
      <c r="Z317" s="99" t="str">
        <f aca="false">IF(AND(Y317&lt;&gt;0,Y317&lt;&gt;""), "кг", "")</f>
        <v/>
      </c>
      <c r="AA317" s="10"/>
    </row>
    <row r="318" customFormat="false" ht="18.15" hidden="false" customHeight="true" outlineLevel="0" collapsed="false">
      <c r="B318" s="61"/>
      <c r="C318" s="62" t="str">
        <f aca="false">HYPERLINK("http://www.emi-penza.ru/p/330/", "60.3787")</f>
        <v>60.3787</v>
      </c>
      <c r="D318" s="63"/>
      <c r="E318" s="63"/>
      <c r="F318" s="63"/>
      <c r="G318" s="63" t="s">
        <v>416</v>
      </c>
      <c r="H318" s="63"/>
      <c r="I318" s="64" t="s">
        <v>327</v>
      </c>
      <c r="J318" s="64"/>
      <c r="K318" s="63" t="s">
        <v>417</v>
      </c>
      <c r="L318" s="63"/>
      <c r="M318" s="63"/>
      <c r="N318" s="65" t="n">
        <v>125</v>
      </c>
      <c r="O318" s="65" t="n">
        <f aca="false">ROUND(N318*1.2, 2)</f>
        <v>150</v>
      </c>
      <c r="R318" s="10"/>
      <c r="S318" s="66" t="n">
        <v>60</v>
      </c>
      <c r="T318" s="66"/>
      <c r="U318" s="67" t="n">
        <v>0</v>
      </c>
      <c r="V318" s="66"/>
      <c r="W318" s="72" t="str">
        <f aca="false">IF(OR(U318=0,N318=""), "", O318*ROUND(U318,0))</f>
        <v/>
      </c>
      <c r="X318" s="99" t="str">
        <f aca="false">IF(AND(N318="", U318&lt;&gt;""),"?",IF(AND(W318&lt;&gt;0,W318&lt;&gt;""), "р.", ""))</f>
        <v/>
      </c>
      <c r="Y318" s="70" t="str">
        <f aca="false">IF(AND(S318&gt;0,U318&gt;0), S318*ROUND(U318,0) / 1000, "")</f>
        <v/>
      </c>
      <c r="Z318" s="99" t="str">
        <f aca="false">IF(AND(Y318&lt;&gt;0,Y318&lt;&gt;""), "кг", "")</f>
        <v/>
      </c>
      <c r="AA318" s="10"/>
    </row>
    <row r="319" customFormat="false" ht="18.15" hidden="false" customHeight="true" outlineLevel="0" collapsed="false">
      <c r="B319" s="61"/>
      <c r="C319" s="62" t="str">
        <f aca="false">HYPERLINK("http://www.emi-penza.ru/p/344/", "69.3787")</f>
        <v>69.3787</v>
      </c>
      <c r="D319" s="63" t="s">
        <v>418</v>
      </c>
      <c r="E319" s="63"/>
      <c r="F319" s="63"/>
      <c r="G319" s="63" t="s">
        <v>419</v>
      </c>
      <c r="H319" s="63"/>
      <c r="I319" s="64" t="s">
        <v>327</v>
      </c>
      <c r="J319" s="64"/>
      <c r="K319" s="63" t="s">
        <v>420</v>
      </c>
      <c r="L319" s="63"/>
      <c r="M319" s="63"/>
      <c r="N319" s="65" t="n">
        <v>115</v>
      </c>
      <c r="O319" s="65" t="n">
        <f aca="false">ROUND(N319*1.2, 2)</f>
        <v>138</v>
      </c>
      <c r="R319" s="10"/>
      <c r="S319" s="66" t="n">
        <v>22</v>
      </c>
      <c r="T319" s="66"/>
      <c r="U319" s="67" t="n">
        <v>0</v>
      </c>
      <c r="V319" s="66"/>
      <c r="W319" s="72" t="str">
        <f aca="false">IF(OR(U319=0,N319=""), "", O319*ROUND(U319,0))</f>
        <v/>
      </c>
      <c r="X319" s="99" t="str">
        <f aca="false">IF(AND(N319="", U319&lt;&gt;""),"?",IF(AND(W319&lt;&gt;0,W319&lt;&gt;""), "р.", ""))</f>
        <v/>
      </c>
      <c r="Y319" s="70" t="str">
        <f aca="false">IF(AND(S319&gt;0,U319&gt;0), S319*ROUND(U319,0) / 1000, "")</f>
        <v/>
      </c>
      <c r="Z319" s="99" t="str">
        <f aca="false">IF(AND(Y319&lt;&gt;0,Y319&lt;&gt;""), "кг", "")</f>
        <v/>
      </c>
      <c r="AA319" s="10"/>
    </row>
    <row r="320" customFormat="false" ht="18.15" hidden="false" customHeight="true" outlineLevel="0" collapsed="false">
      <c r="B320" s="61"/>
      <c r="C320" s="62" t="str">
        <f aca="false">HYPERLINK("http://www.emi-penza.ru/p/347/", "71.3787")</f>
        <v>71.3787</v>
      </c>
      <c r="D320" s="63" t="s">
        <v>421</v>
      </c>
      <c r="E320" s="63"/>
      <c r="F320" s="63"/>
      <c r="G320" s="63" t="s">
        <v>422</v>
      </c>
      <c r="H320" s="63"/>
      <c r="I320" s="64" t="s">
        <v>327</v>
      </c>
      <c r="J320" s="64"/>
      <c r="K320" s="63" t="s">
        <v>423</v>
      </c>
      <c r="L320" s="63"/>
      <c r="M320" s="63"/>
      <c r="N320" s="65" t="n">
        <v>179</v>
      </c>
      <c r="O320" s="65" t="n">
        <f aca="false">ROUND(N320*1.2, 2)</f>
        <v>214.8</v>
      </c>
      <c r="R320" s="10"/>
      <c r="S320" s="66" t="n">
        <v>30</v>
      </c>
      <c r="T320" s="66"/>
      <c r="U320" s="67" t="n">
        <v>0</v>
      </c>
      <c r="V320" s="66"/>
      <c r="W320" s="72" t="str">
        <f aca="false">IF(OR(U320=0,N320=""), "", O320*ROUND(U320,0))</f>
        <v/>
      </c>
      <c r="X320" s="99" t="str">
        <f aca="false">IF(AND(N320="", U320&lt;&gt;""),"?",IF(AND(W320&lt;&gt;0,W320&lt;&gt;""), "р.", ""))</f>
        <v/>
      </c>
      <c r="Y320" s="70" t="str">
        <f aca="false">IF(AND(S320&gt;0,U320&gt;0), S320*ROUND(U320,0) / 1000, "")</f>
        <v/>
      </c>
      <c r="Z320" s="99" t="str">
        <f aca="false">IF(AND(Y320&lt;&gt;0,Y320&lt;&gt;""), "кг", "")</f>
        <v/>
      </c>
      <c r="AA320" s="10"/>
    </row>
    <row r="321" customFormat="false" ht="18.15" hidden="false" customHeight="true" outlineLevel="0" collapsed="false">
      <c r="B321" s="61"/>
      <c r="C321" s="62" t="str">
        <f aca="false">HYPERLINK("http://www.emi-penza.ru/p/415/", "71.3787-01")</f>
        <v>71.3787-01</v>
      </c>
      <c r="D321" s="63" t="s">
        <v>424</v>
      </c>
      <c r="E321" s="63"/>
      <c r="F321" s="63"/>
      <c r="G321" s="63" t="s">
        <v>425</v>
      </c>
      <c r="H321" s="63"/>
      <c r="I321" s="64" t="s">
        <v>327</v>
      </c>
      <c r="J321" s="64"/>
      <c r="K321" s="63" t="s">
        <v>426</v>
      </c>
      <c r="L321" s="63"/>
      <c r="M321" s="63"/>
      <c r="N321" s="65" t="n">
        <v>179</v>
      </c>
      <c r="O321" s="65" t="n">
        <f aca="false">ROUND(N321*1.2, 2)</f>
        <v>214.8</v>
      </c>
      <c r="R321" s="10"/>
      <c r="S321" s="66" t="n">
        <v>30</v>
      </c>
      <c r="T321" s="66"/>
      <c r="U321" s="67" t="n">
        <v>0</v>
      </c>
      <c r="V321" s="66"/>
      <c r="W321" s="72" t="str">
        <f aca="false">IF(OR(U321=0,N321=""), "", O321*ROUND(U321,0))</f>
        <v/>
      </c>
      <c r="X321" s="99" t="str">
        <f aca="false">IF(AND(N321="", U321&lt;&gt;""),"?",IF(AND(W321&lt;&gt;0,W321&lt;&gt;""), "р.", ""))</f>
        <v/>
      </c>
      <c r="Y321" s="70" t="str">
        <f aca="false">IF(AND(S321&gt;0,U321&gt;0), S321*ROUND(U321,0) / 1000, "")</f>
        <v/>
      </c>
      <c r="Z321" s="99" t="str">
        <f aca="false">IF(AND(Y321&lt;&gt;0,Y321&lt;&gt;""), "кг", "")</f>
        <v/>
      </c>
      <c r="AA321" s="10"/>
    </row>
    <row r="322" customFormat="false" ht="18.15" hidden="false" customHeight="true" outlineLevel="0" collapsed="false">
      <c r="B322" s="61"/>
      <c r="C322" s="62" t="str">
        <f aca="false">HYPERLINK("https://www.emi-penza.ru/p/71.3787-02", "71.3787-02")</f>
        <v>71.3787-02</v>
      </c>
      <c r="D322" s="63" t="s">
        <v>427</v>
      </c>
      <c r="E322" s="63"/>
      <c r="F322" s="63"/>
      <c r="G322" s="63" t="s">
        <v>428</v>
      </c>
      <c r="H322" s="63"/>
      <c r="I322" s="64" t="s">
        <v>327</v>
      </c>
      <c r="J322" s="64"/>
      <c r="K322" s="63" t="s">
        <v>34</v>
      </c>
      <c r="L322" s="63"/>
      <c r="M322" s="63"/>
      <c r="N322" s="65" t="n">
        <v>545</v>
      </c>
      <c r="O322" s="65" t="n">
        <f aca="false">ROUND(N322*1.2, 2)</f>
        <v>654</v>
      </c>
      <c r="R322" s="10"/>
      <c r="S322" s="66" t="n">
        <v>30</v>
      </c>
      <c r="T322" s="66"/>
      <c r="U322" s="67" t="n">
        <v>0</v>
      </c>
      <c r="V322" s="66"/>
      <c r="W322" s="72" t="str">
        <f aca="false">IF(OR(U322=0,N322=""), "", O322*ROUND(U322,0))</f>
        <v/>
      </c>
      <c r="X322" s="99" t="str">
        <f aca="false">IF(AND(N322="", U322&lt;&gt;""),"?",IF(AND(W322&lt;&gt;0,W322&lt;&gt;""), "р.", ""))</f>
        <v/>
      </c>
      <c r="Y322" s="70" t="str">
        <f aca="false">IF(AND(S322&gt;0,U322&gt;0), S322*ROUND(U322,0) / 1000, "")</f>
        <v/>
      </c>
      <c r="Z322" s="99" t="str">
        <f aca="false">IF(AND(Y322&lt;&gt;0,Y322&lt;&gt;""), "кг", "")</f>
        <v/>
      </c>
      <c r="AA322" s="10"/>
    </row>
    <row r="323" customFormat="false" ht="18.15" hidden="false" customHeight="true" outlineLevel="0" collapsed="false">
      <c r="B323" s="61" t="s">
        <v>20</v>
      </c>
      <c r="C323" s="62" t="str">
        <f aca="false">HYPERLINK("https://www.emi-penza.ru/p/71.3787-03", "71.3787-03")</f>
        <v>71.3787-03</v>
      </c>
      <c r="D323" s="63"/>
      <c r="E323" s="63"/>
      <c r="F323" s="176" t="s">
        <v>429</v>
      </c>
      <c r="G323" s="63"/>
      <c r="H323" s="63"/>
      <c r="I323" s="64" t="s">
        <v>327</v>
      </c>
      <c r="J323" s="64"/>
      <c r="K323" s="63" t="s">
        <v>430</v>
      </c>
      <c r="L323" s="63"/>
      <c r="M323" s="63"/>
      <c r="N323" s="65" t="n">
        <v>320</v>
      </c>
      <c r="O323" s="65" t="n">
        <f aca="false">ROUND(N323*1.2, 2)</f>
        <v>384</v>
      </c>
      <c r="R323" s="10"/>
      <c r="S323" s="66" t="n">
        <v>40</v>
      </c>
      <c r="T323" s="66"/>
      <c r="U323" s="67" t="n">
        <v>0</v>
      </c>
      <c r="V323" s="66"/>
      <c r="W323" s="72" t="str">
        <f aca="false">IF(OR(U323=0,N323=""), "", O323*ROUND(U323,0))</f>
        <v/>
      </c>
      <c r="X323" s="99" t="str">
        <f aca="false">IF(AND(N323="", U323&lt;&gt;""),"?",IF(AND(W323&lt;&gt;0,W323&lt;&gt;""), "р.", ""))</f>
        <v/>
      </c>
      <c r="Y323" s="70" t="str">
        <f aca="false">IF(AND(S323&gt;0,U323&gt;0), S323*ROUND(U323,0) / 1000, "")</f>
        <v/>
      </c>
      <c r="Z323" s="99" t="str">
        <f aca="false">IF(AND(Y323&lt;&gt;0,Y323&lt;&gt;""), "кг", "")</f>
        <v/>
      </c>
      <c r="AA323" s="10"/>
    </row>
    <row r="324" customFormat="false" ht="18.15" hidden="false" customHeight="true" outlineLevel="0" collapsed="false">
      <c r="B324" s="61" t="s">
        <v>20</v>
      </c>
      <c r="C324" s="62" t="str">
        <f aca="false">HYPERLINK("https://www.emi-penza.ru/p/71.3787-04", "71.3787-04")</f>
        <v>71.3787-04</v>
      </c>
      <c r="D324" s="63"/>
      <c r="E324" s="63"/>
      <c r="F324" s="176" t="s">
        <v>429</v>
      </c>
      <c r="G324" s="63"/>
      <c r="H324" s="63"/>
      <c r="I324" s="64" t="s">
        <v>310</v>
      </c>
      <c r="J324" s="64"/>
      <c r="K324" s="63" t="s">
        <v>430</v>
      </c>
      <c r="L324" s="63"/>
      <c r="M324" s="63"/>
      <c r="N324" s="65" t="n">
        <v>320</v>
      </c>
      <c r="O324" s="65" t="n">
        <f aca="false">ROUND(N324*1.2, 2)</f>
        <v>384</v>
      </c>
      <c r="R324" s="10"/>
      <c r="S324" s="66" t="n">
        <v>40</v>
      </c>
      <c r="T324" s="66"/>
      <c r="U324" s="67" t="n">
        <v>0</v>
      </c>
      <c r="V324" s="66"/>
      <c r="W324" s="72" t="str">
        <f aca="false">IF(OR(U324=0,N324=""), "", O324*ROUND(U324,0))</f>
        <v/>
      </c>
      <c r="X324" s="99" t="str">
        <f aca="false">IF(AND(N324="", U324&lt;&gt;""),"?",IF(AND(W324&lt;&gt;0,W324&lt;&gt;""), "р.", ""))</f>
        <v/>
      </c>
      <c r="Y324" s="70" t="str">
        <f aca="false">IF(AND(S324&gt;0,U324&gt;0), S324*ROUND(U324,0) / 1000, "")</f>
        <v/>
      </c>
      <c r="Z324" s="99" t="str">
        <f aca="false">IF(AND(Y324&lt;&gt;0,Y324&lt;&gt;""), "кг", "")</f>
        <v/>
      </c>
      <c r="AA324" s="10"/>
    </row>
    <row r="325" customFormat="false" ht="18.15" hidden="false" customHeight="true" outlineLevel="0" collapsed="false">
      <c r="B325" s="61"/>
      <c r="C325" s="62" t="str">
        <f aca="false">HYPERLINK("http://www.emi-penza.ru/p/351/", "72.3787")</f>
        <v>72.3787</v>
      </c>
      <c r="D325" s="63" t="s">
        <v>431</v>
      </c>
      <c r="E325" s="63"/>
      <c r="F325" s="63"/>
      <c r="G325" s="63" t="s">
        <v>382</v>
      </c>
      <c r="H325" s="63"/>
      <c r="I325" s="64" t="s">
        <v>310</v>
      </c>
      <c r="J325" s="64"/>
      <c r="K325" s="63" t="s">
        <v>432</v>
      </c>
      <c r="L325" s="63"/>
      <c r="M325" s="63"/>
      <c r="N325" s="65" t="n">
        <v>317</v>
      </c>
      <c r="O325" s="65" t="n">
        <f aca="false">ROUND(N325*1.2, 2)</f>
        <v>380.4</v>
      </c>
      <c r="R325" s="10"/>
      <c r="S325" s="66" t="n">
        <v>60</v>
      </c>
      <c r="T325" s="66"/>
      <c r="U325" s="67" t="n">
        <v>0</v>
      </c>
      <c r="V325" s="66"/>
      <c r="W325" s="72" t="str">
        <f aca="false">IF(OR(U325=0,N325=""), "", O325*ROUND(U325,0))</f>
        <v/>
      </c>
      <c r="X325" s="99" t="str">
        <f aca="false">IF(AND(N325="", U325&lt;&gt;""),"?",IF(AND(W325&lt;&gt;0,W325&lt;&gt;""), "р.", ""))</f>
        <v/>
      </c>
      <c r="Y325" s="70" t="str">
        <f aca="false">IF(AND(S325&gt;0,U325&gt;0), S325*ROUND(U325,0) / 1000, "")</f>
        <v/>
      </c>
      <c r="Z325" s="99" t="str">
        <f aca="false">IF(AND(Y325&lt;&gt;0,Y325&lt;&gt;""), "кг", "")</f>
        <v/>
      </c>
      <c r="AA325" s="10"/>
    </row>
    <row r="326" customFormat="false" ht="18.15" hidden="false" customHeight="true" outlineLevel="0" collapsed="false">
      <c r="B326" s="61"/>
      <c r="C326" s="62" t="str">
        <f aca="false">HYPERLINK("http://www.emi-penza.ru/p/312/", "74.3777")</f>
        <v>74.3777</v>
      </c>
      <c r="D326" s="63" t="s">
        <v>433</v>
      </c>
      <c r="E326" s="63"/>
      <c r="F326" s="63"/>
      <c r="G326" s="63" t="s">
        <v>382</v>
      </c>
      <c r="H326" s="63"/>
      <c r="I326" s="64" t="s">
        <v>327</v>
      </c>
      <c r="J326" s="64"/>
      <c r="K326" s="63" t="s">
        <v>434</v>
      </c>
      <c r="L326" s="63"/>
      <c r="M326" s="63"/>
      <c r="N326" s="65" t="n">
        <v>122</v>
      </c>
      <c r="O326" s="65" t="n">
        <f aca="false">ROUND(N326*1.2, 2)</f>
        <v>146.4</v>
      </c>
      <c r="R326" s="10"/>
      <c r="S326" s="66" t="n">
        <v>46</v>
      </c>
      <c r="T326" s="66"/>
      <c r="U326" s="67" t="n">
        <v>0</v>
      </c>
      <c r="V326" s="66"/>
      <c r="W326" s="72" t="str">
        <f aca="false">IF(OR(U326=0,N326=""), "", O326*ROUND(U326,0))</f>
        <v/>
      </c>
      <c r="X326" s="99" t="str">
        <f aca="false">IF(AND(N326="", U326&lt;&gt;""),"?",IF(AND(W326&lt;&gt;0,W326&lt;&gt;""), "р.", ""))</f>
        <v/>
      </c>
      <c r="Y326" s="70" t="str">
        <f aca="false">IF(AND(S326&gt;0,U326&gt;0), S326*ROUND(U326,0) / 1000, "")</f>
        <v/>
      </c>
      <c r="Z326" s="99" t="str">
        <f aca="false">IF(AND(Y326&lt;&gt;0,Y326&lt;&gt;""), "кг", "")</f>
        <v/>
      </c>
      <c r="AA326" s="10"/>
    </row>
    <row r="327" customFormat="false" ht="18.15" hidden="false" customHeight="true" outlineLevel="0" collapsed="false">
      <c r="B327" s="61"/>
      <c r="C327" s="62" t="str">
        <f aca="false">HYPERLINK("http://www.emi-penza.ru/p/315/", "77.3777")</f>
        <v>77.3777</v>
      </c>
      <c r="D327" s="63" t="s">
        <v>435</v>
      </c>
      <c r="E327" s="63"/>
      <c r="F327" s="63"/>
      <c r="G327" s="63" t="s">
        <v>436</v>
      </c>
      <c r="H327" s="63"/>
      <c r="I327" s="64" t="s">
        <v>327</v>
      </c>
      <c r="J327" s="64"/>
      <c r="K327" s="63" t="s">
        <v>437</v>
      </c>
      <c r="L327" s="63"/>
      <c r="M327" s="63"/>
      <c r="N327" s="65" t="n">
        <v>149</v>
      </c>
      <c r="O327" s="65" t="n">
        <f aca="false">ROUND(N327*1.2, 2)</f>
        <v>178.8</v>
      </c>
      <c r="R327" s="10"/>
      <c r="S327" s="66" t="n">
        <v>73</v>
      </c>
      <c r="T327" s="66"/>
      <c r="U327" s="67" t="n">
        <v>0</v>
      </c>
      <c r="V327" s="66"/>
      <c r="W327" s="72" t="str">
        <f aca="false">IF(OR(U327=0,N327=""), "", O327*ROUND(U327,0))</f>
        <v/>
      </c>
      <c r="X327" s="99" t="str">
        <f aca="false">IF(AND(N327="", U327&lt;&gt;""),"?",IF(AND(W327&lt;&gt;0,W327&lt;&gt;""), "р.", ""))</f>
        <v/>
      </c>
      <c r="Y327" s="70" t="str">
        <f aca="false">IF(AND(S327&gt;0,U327&gt;0), S327*ROUND(U327,0) / 1000, "")</f>
        <v/>
      </c>
      <c r="Z327" s="99" t="str">
        <f aca="false">IF(AND(Y327&lt;&gt;0,Y327&lt;&gt;""), "кг", "")</f>
        <v/>
      </c>
      <c r="AA327" s="10"/>
    </row>
    <row r="328" customFormat="false" ht="14.15" hidden="false" customHeight="true" outlineLevel="0" collapsed="false">
      <c r="B328" s="73"/>
      <c r="C328" s="74" t="str">
        <f aca="false">HYPERLINK("http://www.emi-penza.ru/p/317/", "97.3777")</f>
        <v>97.3777</v>
      </c>
      <c r="D328" s="75" t="s">
        <v>438</v>
      </c>
      <c r="E328" s="75"/>
      <c r="F328" s="75"/>
      <c r="G328" s="75" t="s">
        <v>439</v>
      </c>
      <c r="H328" s="75"/>
      <c r="I328" s="76" t="s">
        <v>327</v>
      </c>
      <c r="J328" s="76"/>
      <c r="K328" s="75" t="s">
        <v>440</v>
      </c>
      <c r="L328" s="75"/>
      <c r="M328" s="75"/>
      <c r="N328" s="77" t="n">
        <v>139</v>
      </c>
      <c r="O328" s="77" t="n">
        <f aca="false">ROUND(N328*1.2, 2)</f>
        <v>166.8</v>
      </c>
      <c r="R328" s="10"/>
      <c r="S328" s="78" t="n">
        <v>27</v>
      </c>
      <c r="T328" s="78"/>
      <c r="U328" s="79" t="n">
        <v>0</v>
      </c>
      <c r="V328" s="78"/>
      <c r="W328" s="80" t="str">
        <f aca="false">IF(OR(U328=0,N328=""), "", O328*ROUND(U328,0))</f>
        <v/>
      </c>
      <c r="X328" s="100" t="str">
        <f aca="false">IF(AND(N328="", U328&lt;&gt;""),"?",IF(AND(W328&lt;&gt;0,W328&lt;&gt;""), "р.", ""))</f>
        <v/>
      </c>
      <c r="Y328" s="82" t="str">
        <f aca="false">IF(AND(S328&gt;0,U328&gt;0), S328*ROUND(U328,0) / 1000, "")</f>
        <v/>
      </c>
      <c r="Z328" s="100" t="str">
        <f aca="false">IF(AND(Y328&lt;&gt;0,Y328&lt;&gt;""), "кг", "")</f>
        <v/>
      </c>
      <c r="AA328" s="10"/>
    </row>
    <row r="329" customFormat="false" ht="15" hidden="false" customHeight="true" outlineLevel="0" collapsed="false">
      <c r="B329" s="84"/>
      <c r="C329" s="85"/>
      <c r="D329" s="86"/>
      <c r="E329" s="86"/>
      <c r="F329" s="86"/>
      <c r="G329" s="86"/>
      <c r="H329" s="86"/>
      <c r="I329" s="87"/>
      <c r="J329" s="87"/>
      <c r="K329" s="86"/>
      <c r="L329" s="86"/>
      <c r="M329" s="171" t="s">
        <v>64</v>
      </c>
      <c r="N329" s="88" t="n">
        <v>146</v>
      </c>
      <c r="O329" s="88" t="n">
        <f aca="false">ROUND(N329*1.2, 2)</f>
        <v>175.2</v>
      </c>
      <c r="R329" s="10"/>
      <c r="S329" s="89" t="n">
        <v>32</v>
      </c>
      <c r="T329" s="89"/>
      <c r="U329" s="90" t="n">
        <v>0</v>
      </c>
      <c r="V329" s="89"/>
      <c r="W329" s="91" t="str">
        <f aca="false">IF(OR(U329=0,N329=""), "", O329*ROUND(U329,0))</f>
        <v/>
      </c>
      <c r="X329" s="101" t="str">
        <f aca="false">IF(AND(N329="", U329&lt;&gt;""),"?",IF(AND(W329&lt;&gt;0,W329&lt;&gt;""), "р.", ""))</f>
        <v/>
      </c>
      <c r="Y329" s="93" t="str">
        <f aca="false">IF(AND(S329&gt;0,U329&gt;0), S329*ROUND(U329,0) / 1000, "")</f>
        <v/>
      </c>
      <c r="Z329" s="101" t="str">
        <f aca="false">IF(AND(Y329&lt;&gt;0,Y329&lt;&gt;""), "кг", "")</f>
        <v/>
      </c>
      <c r="AA329" s="10"/>
    </row>
    <row r="330" customFormat="false" ht="18.15" hidden="false" customHeight="true" outlineLevel="0" collapsed="false">
      <c r="B330" s="61"/>
      <c r="C330" s="62" t="str">
        <f aca="false">HYPERLINK("http://www.emi-penza.ru/p/355/", "97.3777-02 LED")</f>
        <v>97.3777-02 LED</v>
      </c>
      <c r="D330" s="63"/>
      <c r="E330" s="63"/>
      <c r="F330" s="63"/>
      <c r="G330" s="63" t="s">
        <v>439</v>
      </c>
      <c r="H330" s="63"/>
      <c r="I330" s="64" t="s">
        <v>327</v>
      </c>
      <c r="J330" s="64"/>
      <c r="K330" s="63" t="s">
        <v>441</v>
      </c>
      <c r="L330" s="63"/>
      <c r="M330" s="63"/>
      <c r="N330" s="65" t="n">
        <v>169</v>
      </c>
      <c r="O330" s="65" t="n">
        <f aca="false">ROUND(N330*1.2, 2)</f>
        <v>202.8</v>
      </c>
      <c r="R330" s="10"/>
      <c r="S330" s="66" t="n">
        <v>27</v>
      </c>
      <c r="T330" s="66"/>
      <c r="U330" s="67" t="n">
        <v>0</v>
      </c>
      <c r="V330" s="66"/>
      <c r="W330" s="72" t="str">
        <f aca="false">IF(OR(U330=0,N330=""), "", O330*ROUND(U330,0))</f>
        <v/>
      </c>
      <c r="X330" s="99" t="str">
        <f aca="false">IF(AND(N330="", U330&lt;&gt;""),"?",IF(AND(W330&lt;&gt;0,W330&lt;&gt;""), "р.", ""))</f>
        <v/>
      </c>
      <c r="Y330" s="70" t="str">
        <f aca="false">IF(AND(S330&gt;0,U330&gt;0), S330*ROUND(U330,0) / 1000, "")</f>
        <v/>
      </c>
      <c r="Z330" s="99" t="str">
        <f aca="false">IF(AND(Y330&lt;&gt;0,Y330&lt;&gt;""), "кг", "")</f>
        <v/>
      </c>
      <c r="AA330" s="10"/>
    </row>
    <row r="331" customFormat="false" ht="18.15" hidden="false" customHeight="true" outlineLevel="0" collapsed="false">
      <c r="B331" s="61" t="s">
        <v>20</v>
      </c>
      <c r="C331" s="62" t="str">
        <f aca="false">HYPERLINK("http://www.emi-penza.ru/p/97.3777-04", "97.3777-04")</f>
        <v>97.3777-04</v>
      </c>
      <c r="D331" s="63" t="s">
        <v>442</v>
      </c>
      <c r="E331" s="63"/>
      <c r="F331" s="63"/>
      <c r="G331" s="63" t="s">
        <v>439</v>
      </c>
      <c r="H331" s="63"/>
      <c r="I331" s="64" t="s">
        <v>327</v>
      </c>
      <c r="J331" s="64"/>
      <c r="K331" s="63" t="s">
        <v>443</v>
      </c>
      <c r="L331" s="63"/>
      <c r="M331" s="63"/>
      <c r="N331" s="65" t="n">
        <v>179</v>
      </c>
      <c r="O331" s="65" t="n">
        <f aca="false">ROUND(N331*1.2, 2)</f>
        <v>214.8</v>
      </c>
      <c r="R331" s="10"/>
      <c r="S331" s="66" t="n">
        <v>40</v>
      </c>
      <c r="T331" s="66"/>
      <c r="U331" s="67" t="n">
        <v>0</v>
      </c>
      <c r="V331" s="66"/>
      <c r="W331" s="72" t="str">
        <f aca="false">IF(OR(U331=0,N331=""), "", O331*ROUND(U331,0))</f>
        <v/>
      </c>
      <c r="X331" s="99" t="str">
        <f aca="false">IF(AND(N331="", U331&lt;&gt;""),"?",IF(AND(W331&lt;&gt;0,W331&lt;&gt;""), "р.", ""))</f>
        <v/>
      </c>
      <c r="Y331" s="70" t="str">
        <f aca="false">IF(AND(S331&gt;0,U331&gt;0), S331*ROUND(U331,0) / 1000, "")</f>
        <v/>
      </c>
      <c r="Z331" s="99" t="str">
        <f aca="false">IF(AND(Y331&lt;&gt;0,Y331&lt;&gt;""), "кг", "")</f>
        <v/>
      </c>
      <c r="AA331" s="10"/>
    </row>
    <row r="332" customFormat="false" ht="18.15" hidden="false" customHeight="true" outlineLevel="0" collapsed="false">
      <c r="B332" s="61"/>
      <c r="C332" s="62" t="str">
        <f aca="false">HYPERLINK("http://www.emi-penza.ru/p/97.3777-05", "97.3777-05")</f>
        <v>97.3777-05</v>
      </c>
      <c r="D332" s="63"/>
      <c r="E332" s="63"/>
      <c r="F332" s="63"/>
      <c r="G332" s="63" t="s">
        <v>444</v>
      </c>
      <c r="H332" s="63"/>
      <c r="I332" s="64" t="s">
        <v>327</v>
      </c>
      <c r="J332" s="64"/>
      <c r="K332" s="63" t="s">
        <v>445</v>
      </c>
      <c r="L332" s="63"/>
      <c r="M332" s="63"/>
      <c r="N332" s="65" t="n">
        <v>1499</v>
      </c>
      <c r="O332" s="65" t="n">
        <f aca="false">ROUND(N332*1.2, 2)</f>
        <v>1798.8</v>
      </c>
      <c r="R332" s="10"/>
      <c r="S332" s="66" t="n">
        <v>40</v>
      </c>
      <c r="T332" s="66"/>
      <c r="U332" s="67" t="n">
        <v>0</v>
      </c>
      <c r="V332" s="66"/>
      <c r="W332" s="72" t="str">
        <f aca="false">IF(OR(U332=0,N332=""), "", O332*ROUND(U332,0))</f>
        <v/>
      </c>
      <c r="X332" s="99" t="str">
        <f aca="false">IF(AND(N332="", U332&lt;&gt;""),"?",IF(AND(W332&lt;&gt;0,W332&lt;&gt;""), "р.", ""))</f>
        <v/>
      </c>
      <c r="Y332" s="70" t="str">
        <f aca="false">IF(AND(S332&gt;0,U332&gt;0), S332*ROUND(U332,0) / 1000, "")</f>
        <v/>
      </c>
      <c r="Z332" s="99" t="str">
        <f aca="false">IF(AND(Y332&lt;&gt;0,Y332&lt;&gt;""), "кг", "")</f>
        <v/>
      </c>
      <c r="AA332" s="10"/>
    </row>
    <row r="333" customFormat="false" ht="18.15" hidden="false" customHeight="true" outlineLevel="0" collapsed="false">
      <c r="B333" s="61"/>
      <c r="C333" s="62" t="str">
        <f aca="false">HYPERLINK("http://www.emi-penza.ru/p/416/", "473.3787")</f>
        <v>473.3787</v>
      </c>
      <c r="D333" s="63" t="s">
        <v>446</v>
      </c>
      <c r="E333" s="63"/>
      <c r="F333" s="63"/>
      <c r="G333" s="63" t="s">
        <v>447</v>
      </c>
      <c r="H333" s="63"/>
      <c r="I333" s="64" t="s">
        <v>327</v>
      </c>
      <c r="J333" s="64"/>
      <c r="K333" s="63" t="s">
        <v>448</v>
      </c>
      <c r="L333" s="63"/>
      <c r="M333" s="63"/>
      <c r="N333" s="65" t="n">
        <v>123</v>
      </c>
      <c r="O333" s="65" t="n">
        <f aca="false">ROUND(N333*1.2, 2)</f>
        <v>147.6</v>
      </c>
      <c r="R333" s="10"/>
      <c r="S333" s="66" t="n">
        <v>30</v>
      </c>
      <c r="T333" s="66"/>
      <c r="U333" s="67" t="n">
        <v>0</v>
      </c>
      <c r="V333" s="66"/>
      <c r="W333" s="72" t="str">
        <f aca="false">IF(OR(U333=0,N333=""), "", O333*ROUND(U333,0))</f>
        <v/>
      </c>
      <c r="X333" s="99" t="str">
        <f aca="false">IF(AND(N333="", U333&lt;&gt;""),"?",IF(AND(W333&lt;&gt;0,W333&lt;&gt;""), "р.", ""))</f>
        <v/>
      </c>
      <c r="Y333" s="70" t="str">
        <f aca="false">IF(AND(S333&gt;0,U333&gt;0), S333*ROUND(U333,0) / 1000, "")</f>
        <v/>
      </c>
      <c r="Z333" s="99" t="str">
        <f aca="false">IF(AND(Y333&lt;&gt;0,Y333&lt;&gt;""), "кг", "")</f>
        <v/>
      </c>
      <c r="AA333" s="10"/>
    </row>
    <row r="334" customFormat="false" ht="18.15" hidden="false" customHeight="true" outlineLevel="0" collapsed="false">
      <c r="B334" s="61"/>
      <c r="C334" s="62" t="str">
        <f aca="false">HYPERLINK("http://www.emi-penza.ru/p/413/", "473.3787-10")</f>
        <v>473.3787-10</v>
      </c>
      <c r="D334" s="63" t="s">
        <v>449</v>
      </c>
      <c r="E334" s="63"/>
      <c r="F334" s="63"/>
      <c r="G334" s="63" t="s">
        <v>447</v>
      </c>
      <c r="H334" s="63"/>
      <c r="I334" s="64" t="s">
        <v>310</v>
      </c>
      <c r="J334" s="64"/>
      <c r="K334" s="63" t="s">
        <v>450</v>
      </c>
      <c r="L334" s="63"/>
      <c r="M334" s="63"/>
      <c r="N334" s="65" t="n">
        <v>123</v>
      </c>
      <c r="O334" s="65" t="n">
        <f aca="false">ROUND(N334*1.2, 2)</f>
        <v>147.6</v>
      </c>
      <c r="R334" s="10"/>
      <c r="S334" s="66" t="n">
        <v>30</v>
      </c>
      <c r="T334" s="66"/>
      <c r="U334" s="67" t="n">
        <v>0</v>
      </c>
      <c r="V334" s="66"/>
      <c r="W334" s="72" t="str">
        <f aca="false">IF(OR(U334=0,N334=""), "", O334*ROUND(U334,0))</f>
        <v/>
      </c>
      <c r="X334" s="99" t="str">
        <f aca="false">IF(AND(N334="", U334&lt;&gt;""),"?",IF(AND(W334&lt;&gt;0,W334&lt;&gt;""), "р.", ""))</f>
        <v/>
      </c>
      <c r="Y334" s="70" t="str">
        <f aca="false">IF(AND(S334&gt;0,U334&gt;0), S334*ROUND(U334,0) / 1000, "")</f>
        <v/>
      </c>
      <c r="Z334" s="99" t="str">
        <f aca="false">IF(AND(Y334&lt;&gt;0,Y334&lt;&gt;""), "кг", "")</f>
        <v/>
      </c>
      <c r="AA334" s="10"/>
    </row>
    <row r="335" customFormat="false" ht="18.15" hidden="false" customHeight="true" outlineLevel="0" collapsed="false">
      <c r="B335" s="61"/>
      <c r="C335" s="62" t="str">
        <f aca="false">HYPERLINK("http://www.emi-penza.ru/p/311/", "581.3777")</f>
        <v>581.3777</v>
      </c>
      <c r="D335" s="63" t="s">
        <v>451</v>
      </c>
      <c r="E335" s="63"/>
      <c r="F335" s="63"/>
      <c r="G335" s="63" t="s">
        <v>382</v>
      </c>
      <c r="H335" s="63"/>
      <c r="I335" s="64" t="s">
        <v>327</v>
      </c>
      <c r="J335" s="64"/>
      <c r="K335" s="63" t="s">
        <v>452</v>
      </c>
      <c r="L335" s="63"/>
      <c r="M335" s="63"/>
      <c r="N335" s="65" t="n">
        <v>149</v>
      </c>
      <c r="O335" s="65" t="n">
        <f aca="false">ROUND(N335*1.2, 2)</f>
        <v>178.8</v>
      </c>
      <c r="R335" s="10"/>
      <c r="S335" s="66" t="n">
        <v>57</v>
      </c>
      <c r="T335" s="66"/>
      <c r="U335" s="67" t="n">
        <v>0</v>
      </c>
      <c r="V335" s="66"/>
      <c r="W335" s="72" t="str">
        <f aca="false">IF(OR(U335=0,N335=""), "", O335*ROUND(U335,0))</f>
        <v/>
      </c>
      <c r="X335" s="99" t="str">
        <f aca="false">IF(AND(N335="", U335&lt;&gt;""),"?",IF(AND(W335&lt;&gt;0,W335&lt;&gt;""), "р.", ""))</f>
        <v/>
      </c>
      <c r="Y335" s="70" t="str">
        <f aca="false">IF(AND(S335&gt;0,U335&gt;0), S335*ROUND(U335,0) / 1000, "")</f>
        <v/>
      </c>
      <c r="Z335" s="99" t="str">
        <f aca="false">IF(AND(Y335&lt;&gt;0,Y335&lt;&gt;""), "кг", "")</f>
        <v/>
      </c>
      <c r="AA335" s="10"/>
    </row>
    <row r="336" customFormat="false" ht="18.15" hidden="false" customHeight="true" outlineLevel="0" collapsed="false">
      <c r="B336" s="61"/>
      <c r="C336" s="62" t="str">
        <f aca="false">HYPERLINK("http://www.emi-penza.ru/p/581.3777-01", "581.3777-01")</f>
        <v>581.3777-01</v>
      </c>
      <c r="D336" s="63" t="s">
        <v>453</v>
      </c>
      <c r="E336" s="63"/>
      <c r="F336" s="63"/>
      <c r="G336" s="63" t="s">
        <v>382</v>
      </c>
      <c r="H336" s="63"/>
      <c r="I336" s="64" t="s">
        <v>310</v>
      </c>
      <c r="J336" s="64"/>
      <c r="K336" s="63" t="s">
        <v>454</v>
      </c>
      <c r="L336" s="63"/>
      <c r="M336" s="63"/>
      <c r="N336" s="65" t="n">
        <v>219</v>
      </c>
      <c r="O336" s="65" t="n">
        <f aca="false">ROUND(N336*1.2, 2)</f>
        <v>262.8</v>
      </c>
      <c r="R336" s="10"/>
      <c r="S336" s="66" t="n">
        <v>60</v>
      </c>
      <c r="T336" s="66"/>
      <c r="U336" s="67" t="n">
        <v>0</v>
      </c>
      <c r="V336" s="66"/>
      <c r="W336" s="72" t="str">
        <f aca="false">IF(OR(U336=0,N336=""), "", O336*ROUND(U336,0))</f>
        <v/>
      </c>
      <c r="X336" s="99" t="str">
        <f aca="false">IF(AND(N336="", U336&lt;&gt;""),"?",IF(AND(W336&lt;&gt;0,W336&lt;&gt;""), "р.", ""))</f>
        <v/>
      </c>
      <c r="Y336" s="70" t="str">
        <f aca="false">IF(AND(S336&gt;0,U336&gt;0), S336*ROUND(U336,0) / 1000, "")</f>
        <v/>
      </c>
      <c r="Z336" s="99" t="str">
        <f aca="false">IF(AND(Y336&lt;&gt;0,Y336&lt;&gt;""), "кг", "")</f>
        <v/>
      </c>
      <c r="AA336" s="10"/>
    </row>
    <row r="337" customFormat="false" ht="18.15" hidden="false" customHeight="true" outlineLevel="0" collapsed="false">
      <c r="B337" s="61"/>
      <c r="C337" s="62" t="str">
        <f aca="false">HYPERLINK("http://www.emi-penza.ru/p/313/", "582.3777")</f>
        <v>582.3777</v>
      </c>
      <c r="D337" s="63" t="s">
        <v>455</v>
      </c>
      <c r="E337" s="63"/>
      <c r="F337" s="63"/>
      <c r="G337" s="63" t="s">
        <v>382</v>
      </c>
      <c r="H337" s="63"/>
      <c r="I337" s="64" t="s">
        <v>327</v>
      </c>
      <c r="J337" s="64"/>
      <c r="K337" s="63" t="s">
        <v>37</v>
      </c>
      <c r="L337" s="63"/>
      <c r="M337" s="63"/>
      <c r="N337" s="65" t="n">
        <v>103</v>
      </c>
      <c r="O337" s="65" t="n">
        <f aca="false">ROUND(N337*1.2, 2)</f>
        <v>123.6</v>
      </c>
      <c r="R337" s="10"/>
      <c r="S337" s="66" t="n">
        <v>65</v>
      </c>
      <c r="T337" s="66"/>
      <c r="U337" s="67" t="n">
        <v>0</v>
      </c>
      <c r="V337" s="66"/>
      <c r="W337" s="72" t="str">
        <f aca="false">IF(OR(U337=0,N337=""), "", O337*ROUND(U337,0))</f>
        <v/>
      </c>
      <c r="X337" s="99" t="str">
        <f aca="false">IF(AND(N337="", U337&lt;&gt;""),"?",IF(AND(W337&lt;&gt;0,W337&lt;&gt;""), "р.", ""))</f>
        <v/>
      </c>
      <c r="Y337" s="70" t="str">
        <f aca="false">IF(AND(S337&gt;0,U337&gt;0), S337*ROUND(U337,0) / 1000, "")</f>
        <v/>
      </c>
      <c r="Z337" s="99" t="str">
        <f aca="false">IF(AND(Y337&lt;&gt;0,Y337&lt;&gt;""), "кг", "")</f>
        <v/>
      </c>
      <c r="AA337" s="10"/>
    </row>
    <row r="338" customFormat="false" ht="18.15" hidden="false" customHeight="true" outlineLevel="0" collapsed="false">
      <c r="B338" s="61"/>
      <c r="C338" s="62" t="str">
        <f aca="false">HYPERLINK("http://www.emi-penza.ru/p/314/", "583.3777")</f>
        <v>583.3777</v>
      </c>
      <c r="D338" s="63" t="s">
        <v>456</v>
      </c>
      <c r="E338" s="63"/>
      <c r="F338" s="63"/>
      <c r="G338" s="63" t="s">
        <v>382</v>
      </c>
      <c r="H338" s="63"/>
      <c r="I338" s="64" t="s">
        <v>327</v>
      </c>
      <c r="J338" s="64"/>
      <c r="K338" s="63" t="s">
        <v>457</v>
      </c>
      <c r="L338" s="63"/>
      <c r="M338" s="63"/>
      <c r="N338" s="65" t="n">
        <v>107</v>
      </c>
      <c r="O338" s="65" t="n">
        <f aca="false">ROUND(N338*1.2, 2)</f>
        <v>128.4</v>
      </c>
      <c r="R338" s="10"/>
      <c r="S338" s="66" t="n">
        <v>64</v>
      </c>
      <c r="T338" s="66"/>
      <c r="U338" s="67" t="n">
        <v>0</v>
      </c>
      <c r="V338" s="66"/>
      <c r="W338" s="72" t="str">
        <f aca="false">IF(OR(U338=0,N338=""), "", O338*ROUND(U338,0))</f>
        <v/>
      </c>
      <c r="X338" s="99" t="str">
        <f aca="false">IF(AND(N338="", U338&lt;&gt;""),"?",IF(AND(W338&lt;&gt;0,W338&lt;&gt;""), "р.", ""))</f>
        <v/>
      </c>
      <c r="Y338" s="70" t="str">
        <f aca="false">IF(AND(S338&gt;0,U338&gt;0), S338*ROUND(U338,0) / 1000, "")</f>
        <v/>
      </c>
      <c r="Z338" s="99" t="str">
        <f aca="false">IF(AND(Y338&lt;&gt;0,Y338&lt;&gt;""), "кг", "")</f>
        <v/>
      </c>
      <c r="AA338" s="10"/>
    </row>
    <row r="339" customFormat="false" ht="18.15" hidden="false" customHeight="true" outlineLevel="0" collapsed="false">
      <c r="B339" s="61"/>
      <c r="C339" s="62" t="str">
        <f aca="false">HYPERLINK("http://www.emi-penza.ru/p/316/", "8602.3777")</f>
        <v>8602.3777</v>
      </c>
      <c r="D339" s="63" t="s">
        <v>458</v>
      </c>
      <c r="E339" s="63"/>
      <c r="F339" s="63"/>
      <c r="G339" s="63" t="s">
        <v>459</v>
      </c>
      <c r="H339" s="63"/>
      <c r="I339" s="64" t="s">
        <v>310</v>
      </c>
      <c r="J339" s="64"/>
      <c r="K339" s="63" t="s">
        <v>460</v>
      </c>
      <c r="L339" s="63"/>
      <c r="M339" s="63"/>
      <c r="N339" s="65" t="n">
        <v>119</v>
      </c>
      <c r="O339" s="65" t="n">
        <f aca="false">ROUND(N339*1.2, 2)</f>
        <v>142.8</v>
      </c>
      <c r="R339" s="10"/>
      <c r="S339" s="66" t="n">
        <v>49</v>
      </c>
      <c r="T339" s="66"/>
      <c r="U339" s="67" t="n">
        <v>0</v>
      </c>
      <c r="V339" s="66"/>
      <c r="W339" s="72" t="str">
        <f aca="false">IF(OR(U339=0,N339=""), "", O339*ROUND(U339,0))</f>
        <v/>
      </c>
      <c r="X339" s="99" t="str">
        <f aca="false">IF(AND(N339="", U339&lt;&gt;""),"?",IF(AND(W339&lt;&gt;0,W339&lt;&gt;""), "р.", ""))</f>
        <v/>
      </c>
      <c r="Y339" s="70" t="str">
        <f aca="false">IF(AND(S339&gt;0,U339&gt;0), S339*ROUND(U339,0) / 1000, "")</f>
        <v/>
      </c>
      <c r="Z339" s="99" t="str">
        <f aca="false">IF(AND(Y339&lt;&gt;0,Y339&lt;&gt;""), "кг", "")</f>
        <v/>
      </c>
      <c r="AA339" s="10"/>
    </row>
    <row r="340" customFormat="false" ht="18.15" hidden="false" customHeight="true" outlineLevel="0" collapsed="false">
      <c r="B340" s="61"/>
      <c r="C340" s="62" t="str">
        <f aca="false">HYPERLINK("http://www.emi-penza.ru/p/325/", "8602.3777-01")</f>
        <v>8602.3777-01</v>
      </c>
      <c r="D340" s="63" t="s">
        <v>461</v>
      </c>
      <c r="E340" s="63"/>
      <c r="F340" s="63"/>
      <c r="G340" s="63" t="s">
        <v>462</v>
      </c>
      <c r="H340" s="63"/>
      <c r="I340" s="64" t="s">
        <v>310</v>
      </c>
      <c r="J340" s="64"/>
      <c r="K340" s="63" t="s">
        <v>116</v>
      </c>
      <c r="L340" s="63"/>
      <c r="M340" s="63"/>
      <c r="N340" s="65" t="n">
        <v>215</v>
      </c>
      <c r="O340" s="65" t="n">
        <f aca="false">ROUND(N340*1.2, 2)</f>
        <v>258</v>
      </c>
      <c r="R340" s="10"/>
      <c r="S340" s="66" t="n">
        <v>49</v>
      </c>
      <c r="T340" s="66"/>
      <c r="U340" s="67" t="n">
        <v>0</v>
      </c>
      <c r="V340" s="66"/>
      <c r="W340" s="72" t="str">
        <f aca="false">IF(OR(U340=0,N340=""), "", O340*ROUND(U340,0))</f>
        <v/>
      </c>
      <c r="X340" s="99" t="str">
        <f aca="false">IF(AND(N340="", U340&lt;&gt;""),"?",IF(AND(W340&lt;&gt;0,W340&lt;&gt;""), "р.", ""))</f>
        <v/>
      </c>
      <c r="Y340" s="70" t="str">
        <f aca="false">IF(AND(S340&gt;0,U340&gt;0), S340*ROUND(U340,0) / 1000, "")</f>
        <v/>
      </c>
      <c r="Z340" s="99" t="str">
        <f aca="false">IF(AND(Y340&lt;&gt;0,Y340&lt;&gt;""), "кг", "")</f>
        <v/>
      </c>
      <c r="AA340" s="10"/>
    </row>
    <row r="341" customFormat="false" ht="18.15" hidden="false" customHeight="true" outlineLevel="0" collapsed="false">
      <c r="B341" s="61"/>
      <c r="C341" s="62" t="str">
        <f aca="false">HYPERLINK("http://www.emi-penza.ru/p/335/", "8612.3777")</f>
        <v>8612.3777</v>
      </c>
      <c r="D341" s="63" t="s">
        <v>463</v>
      </c>
      <c r="E341" s="63"/>
      <c r="F341" s="63"/>
      <c r="G341" s="63" t="s">
        <v>459</v>
      </c>
      <c r="H341" s="63"/>
      <c r="I341" s="64" t="s">
        <v>310</v>
      </c>
      <c r="J341" s="64"/>
      <c r="K341" s="63" t="s">
        <v>460</v>
      </c>
      <c r="L341" s="63"/>
      <c r="M341" s="63"/>
      <c r="N341" s="65" t="n">
        <v>115</v>
      </c>
      <c r="O341" s="65" t="n">
        <f aca="false">ROUND(N341*1.2, 2)</f>
        <v>138</v>
      </c>
      <c r="R341" s="10"/>
      <c r="S341" s="66" t="n">
        <v>49</v>
      </c>
      <c r="T341" s="66"/>
      <c r="U341" s="67" t="n">
        <v>0</v>
      </c>
      <c r="V341" s="66"/>
      <c r="W341" s="72" t="str">
        <f aca="false">IF(OR(U341=0,N341=""), "", O341*ROUND(U341,0))</f>
        <v/>
      </c>
      <c r="X341" s="99" t="str">
        <f aca="false">IF(AND(N341="", U341&lt;&gt;""),"?",IF(AND(W341&lt;&gt;0,W341&lt;&gt;""), "р.", ""))</f>
        <v/>
      </c>
      <c r="Y341" s="70" t="str">
        <f aca="false">IF(AND(S341&gt;0,U341&gt;0), S341*ROUND(U341,0) / 1000, "")</f>
        <v/>
      </c>
      <c r="Z341" s="99" t="str">
        <f aca="false">IF(AND(Y341&lt;&gt;0,Y341&lt;&gt;""), "кг", "")</f>
        <v/>
      </c>
      <c r="AA341" s="10"/>
    </row>
    <row r="342" customFormat="false" ht="18.15" hidden="false" customHeight="true" outlineLevel="0" collapsed="false">
      <c r="B342" s="61"/>
      <c r="C342" s="62" t="str">
        <f aca="false">HYPERLINK("http://www.emi-penza.ru/p/345/", "8612.3777-01")</f>
        <v>8612.3777-01</v>
      </c>
      <c r="D342" s="63" t="s">
        <v>464</v>
      </c>
      <c r="E342" s="63"/>
      <c r="F342" s="63"/>
      <c r="G342" s="63" t="s">
        <v>459</v>
      </c>
      <c r="H342" s="63"/>
      <c r="I342" s="64" t="s">
        <v>327</v>
      </c>
      <c r="J342" s="64"/>
      <c r="K342" s="63" t="s">
        <v>465</v>
      </c>
      <c r="L342" s="63"/>
      <c r="M342" s="63"/>
      <c r="N342" s="65" t="n">
        <v>115</v>
      </c>
      <c r="O342" s="65" t="n">
        <f aca="false">ROUND(N342*1.2, 2)</f>
        <v>138</v>
      </c>
      <c r="R342" s="10"/>
      <c r="S342" s="66" t="n">
        <v>45</v>
      </c>
      <c r="T342" s="66"/>
      <c r="U342" s="67" t="n">
        <v>0</v>
      </c>
      <c r="V342" s="66"/>
      <c r="W342" s="72" t="str">
        <f aca="false">IF(OR(U342=0,N342=""), "", O342*ROUND(U342,0))</f>
        <v/>
      </c>
      <c r="X342" s="99" t="str">
        <f aca="false">IF(AND(N342="", U342&lt;&gt;""),"?",IF(AND(W342&lt;&gt;0,W342&lt;&gt;""), "р.", ""))</f>
        <v/>
      </c>
      <c r="Y342" s="70" t="str">
        <f aca="false">IF(AND(S342&gt;0,U342&gt;0), S342*ROUND(U342,0) / 1000, "")</f>
        <v/>
      </c>
      <c r="Z342" s="99" t="str">
        <f aca="false">IF(AND(Y342&lt;&gt;0,Y342&lt;&gt;""), "кг", "")</f>
        <v/>
      </c>
      <c r="AA342" s="10"/>
    </row>
    <row r="343" customFormat="false" ht="18.15" hidden="false" customHeight="true" outlineLevel="0" collapsed="false">
      <c r="B343" s="61"/>
      <c r="C343" s="149" t="str">
        <f aca="false">HYPERLINK("http://www.emi-penza.ru/p/346/", "8612.3777-02")</f>
        <v>8612.3777-02</v>
      </c>
      <c r="D343" s="146" t="s">
        <v>466</v>
      </c>
      <c r="E343" s="146"/>
      <c r="F343" s="146"/>
      <c r="G343" s="146" t="s">
        <v>459</v>
      </c>
      <c r="H343" s="146"/>
      <c r="I343" s="150" t="s">
        <v>310</v>
      </c>
      <c r="J343" s="150"/>
      <c r="K343" s="146" t="s">
        <v>460</v>
      </c>
      <c r="L343" s="146"/>
      <c r="M343" s="146"/>
      <c r="N343" s="151" t="n">
        <v>119</v>
      </c>
      <c r="O343" s="151" t="n">
        <f aca="false">ROUND(N343*1.2, 2)</f>
        <v>142.8</v>
      </c>
      <c r="R343" s="10"/>
      <c r="S343" s="152" t="n">
        <v>45</v>
      </c>
      <c r="T343" s="152"/>
      <c r="U343" s="153" t="n">
        <v>0</v>
      </c>
      <c r="V343" s="152"/>
      <c r="W343" s="154" t="str">
        <f aca="false">IF(OR(U343=0,N343=""), "", O343*ROUND(U343,0))</f>
        <v/>
      </c>
      <c r="X343" s="155" t="str">
        <f aca="false">IF(AND(N343="", U343&lt;&gt;""),"?",IF(AND(W343&lt;&gt;0,W343&lt;&gt;""), "р.", ""))</f>
        <v/>
      </c>
      <c r="Y343" s="156" t="str">
        <f aca="false">IF(AND(S343&gt;0,U343&gt;0), S343*ROUND(U343,0) / 1000, "")</f>
        <v/>
      </c>
      <c r="Z343" s="155" t="str">
        <f aca="false">IF(AND(Y343&lt;&gt;0,Y343&lt;&gt;""), "кг", "")</f>
        <v/>
      </c>
      <c r="AA343" s="10"/>
    </row>
    <row r="344" customFormat="false" ht="9.95" hidden="false" customHeight="true" outlineLevel="0" collapsed="false">
      <c r="B344" s="3"/>
      <c r="R344" s="10"/>
      <c r="S344" s="136"/>
      <c r="T344" s="136"/>
      <c r="U344" s="137"/>
      <c r="V344" s="136"/>
      <c r="W344" s="12" t="str">
        <f aca="false">IF(OR(U344=0,N344=""), "", O344*ROUND(U344,0))</f>
        <v/>
      </c>
      <c r="X344" s="143" t="str">
        <f aca="false">IF(AND(N344="", U344&lt;&gt;""),"?",IF(AND(W344&lt;&gt;0,W344&lt;&gt;""), "р.", ""))</f>
        <v/>
      </c>
      <c r="Y344" s="14" t="str">
        <f aca="false">IF(AND(S344&gt;0,U344&gt;0), S344*ROUND(U344,0) / 1000, "")</f>
        <v/>
      </c>
      <c r="Z344" s="143" t="str">
        <f aca="false">IF(AND(Y344&lt;&gt;0,Y344&lt;&gt;""), "кг", "")</f>
        <v/>
      </c>
      <c r="AA344" s="10"/>
    </row>
    <row r="345" customFormat="false" ht="22.7" hidden="false" customHeight="true" outlineLevel="0" collapsed="false">
      <c r="B345" s="3"/>
      <c r="C345" s="51" t="s">
        <v>467</v>
      </c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3"/>
      <c r="O345" s="53"/>
      <c r="R345" s="10"/>
      <c r="S345" s="138"/>
      <c r="T345" s="138"/>
      <c r="U345" s="139"/>
      <c r="V345" s="138"/>
      <c r="W345" s="140" t="str">
        <f aca="false">IF(OR(U345=0,N345=""), "", O345*ROUND(U345,0))</f>
        <v/>
      </c>
      <c r="X345" s="141" t="str">
        <f aca="false">IF(AND(N345="", U345&lt;&gt;""),"?",IF(AND(W345&lt;&gt;0,W345&lt;&gt;""), "р.", ""))</f>
        <v/>
      </c>
      <c r="Y345" s="142" t="str">
        <f aca="false">IF(AND(S345&gt;0,U345&gt;0), S345*ROUND(U345,0) / 1000, "")</f>
        <v/>
      </c>
      <c r="Z345" s="141" t="str">
        <f aca="false">IF(AND(Y345&lt;&gt;0,Y345&lt;&gt;""), "кг", "")</f>
        <v/>
      </c>
      <c r="AA345" s="10"/>
    </row>
    <row r="346" customFormat="false" ht="2.85" hidden="false" customHeight="true" outlineLevel="0" collapsed="false">
      <c r="B346" s="3"/>
      <c r="R346" s="10"/>
      <c r="S346" s="136"/>
      <c r="T346" s="136"/>
      <c r="U346" s="137"/>
      <c r="V346" s="136"/>
      <c r="W346" s="12" t="str">
        <f aca="false">IF(OR(U346=0,N346=""), "", O346*ROUND(U346,0))</f>
        <v/>
      </c>
      <c r="X346" s="143" t="str">
        <f aca="false">IF(AND(N346="", U346&lt;&gt;""),"?",IF(AND(W346&lt;&gt;0,W346&lt;&gt;""), "р.", ""))</f>
        <v/>
      </c>
      <c r="Y346" s="14" t="str">
        <f aca="false">IF(AND(S346&gt;0,U346&gt;0), S346*ROUND(U346,0) / 1000, "")</f>
        <v/>
      </c>
      <c r="Z346" s="143" t="str">
        <f aca="false">IF(AND(Y346&lt;&gt;0,Y346&lt;&gt;""), "кг", "")</f>
        <v/>
      </c>
      <c r="AA346" s="10"/>
    </row>
    <row r="347" customFormat="false" ht="14.15" hidden="false" customHeight="true" outlineLevel="0" collapsed="false">
      <c r="B347" s="173"/>
      <c r="C347" s="74" t="str">
        <f aca="false">HYPERLINK("http://www.emi-penza.ru/p/522/", "35.3787")</f>
        <v>35.3787</v>
      </c>
      <c r="D347" s="75" t="s">
        <v>468</v>
      </c>
      <c r="E347" s="75"/>
      <c r="F347" s="75"/>
      <c r="G347" s="75" t="s">
        <v>469</v>
      </c>
      <c r="H347" s="75"/>
      <c r="I347" s="76"/>
      <c r="J347" s="76"/>
      <c r="K347" s="75" t="s">
        <v>470</v>
      </c>
      <c r="L347" s="75"/>
      <c r="M347" s="76" t="s">
        <v>471</v>
      </c>
      <c r="N347" s="77" t="n">
        <v>85</v>
      </c>
      <c r="O347" s="77" t="n">
        <f aca="false">ROUND(N347*1.2, 2)</f>
        <v>102</v>
      </c>
      <c r="R347" s="10"/>
      <c r="S347" s="78" t="n">
        <v>37</v>
      </c>
      <c r="T347" s="78"/>
      <c r="U347" s="79" t="n">
        <v>0</v>
      </c>
      <c r="V347" s="78"/>
      <c r="W347" s="80" t="str">
        <f aca="false">IF(OR(U347=0,N347=""), "", O347*ROUND(U347,0))</f>
        <v/>
      </c>
      <c r="X347" s="100" t="str">
        <f aca="false">IF(AND(N347="", U347&lt;&gt;""),"?",IF(AND(W347&lt;&gt;0,W347&lt;&gt;""), "р.", ""))</f>
        <v/>
      </c>
      <c r="Y347" s="82" t="str">
        <f aca="false">IF(AND(S347&gt;0,U347&gt;0), S347*ROUND(U347,0) / 1000, "")</f>
        <v/>
      </c>
      <c r="Z347" s="100" t="str">
        <f aca="false">IF(AND(Y347&lt;&gt;0,Y347&lt;&gt;""), "кг", "")</f>
        <v/>
      </c>
      <c r="AA347" s="10"/>
    </row>
    <row r="348" customFormat="false" ht="15" hidden="false" customHeight="true" outlineLevel="0" collapsed="false">
      <c r="B348" s="3"/>
      <c r="C348" s="85"/>
      <c r="D348" s="86"/>
      <c r="E348" s="86"/>
      <c r="F348" s="86"/>
      <c r="G348" s="86" t="s">
        <v>472</v>
      </c>
      <c r="H348" s="86"/>
      <c r="I348" s="87"/>
      <c r="J348" s="87"/>
      <c r="K348" s="86" t="s">
        <v>473</v>
      </c>
      <c r="L348" s="86"/>
      <c r="M348" s="87"/>
      <c r="N348" s="88"/>
      <c r="O348" s="88"/>
      <c r="R348" s="10"/>
      <c r="S348" s="89"/>
      <c r="T348" s="89"/>
      <c r="U348" s="90"/>
      <c r="V348" s="89"/>
      <c r="W348" s="91" t="str">
        <f aca="false">IF(OR(U348=0,N348=""), "", O348*ROUND(U348,0))</f>
        <v/>
      </c>
      <c r="X348" s="101" t="str">
        <f aca="false">IF(AND(N348="", U348&lt;&gt;""),"?",IF(AND(W348&lt;&gt;0,W348&lt;&gt;""), "р.", ""))</f>
        <v/>
      </c>
      <c r="Y348" s="93" t="str">
        <f aca="false">IF(AND(S348&gt;0,U348&gt;0), S348*ROUND(U348,0) / 1000, "")</f>
        <v/>
      </c>
      <c r="Z348" s="101" t="str">
        <f aca="false">IF(AND(Y348&lt;&gt;0,Y348&lt;&gt;""), "кг", "")</f>
        <v/>
      </c>
      <c r="AA348" s="10"/>
    </row>
    <row r="349" customFormat="false" ht="14.15" hidden="false" customHeight="true" outlineLevel="0" collapsed="false">
      <c r="B349" s="173"/>
      <c r="C349" s="74" t="str">
        <f aca="false">HYPERLINK("http://www.emi-penza.ru/p/518/", "35.3787-20")</f>
        <v>35.3787-20</v>
      </c>
      <c r="D349" s="75" t="s">
        <v>474</v>
      </c>
      <c r="E349" s="75"/>
      <c r="F349" s="75"/>
      <c r="G349" s="75" t="s">
        <v>469</v>
      </c>
      <c r="H349" s="75"/>
      <c r="I349" s="76"/>
      <c r="J349" s="76"/>
      <c r="K349" s="75" t="s">
        <v>116</v>
      </c>
      <c r="L349" s="75"/>
      <c r="M349" s="76" t="s">
        <v>475</v>
      </c>
      <c r="N349" s="77" t="n">
        <v>85</v>
      </c>
      <c r="O349" s="77" t="n">
        <f aca="false">ROUND(N349*1.2, 2)</f>
        <v>102</v>
      </c>
      <c r="R349" s="10"/>
      <c r="S349" s="78" t="n">
        <v>34</v>
      </c>
      <c r="T349" s="78"/>
      <c r="U349" s="79" t="n">
        <v>0</v>
      </c>
      <c r="V349" s="78"/>
      <c r="W349" s="80" t="str">
        <f aca="false">IF(OR(U349=0,N349=""), "", O349*ROUND(U349,0))</f>
        <v/>
      </c>
      <c r="X349" s="100" t="str">
        <f aca="false">IF(AND(N349="", U349&lt;&gt;""),"?",IF(AND(W349&lt;&gt;0,W349&lt;&gt;""), "р.", ""))</f>
        <v/>
      </c>
      <c r="Y349" s="82" t="str">
        <f aca="false">IF(AND(S349&gt;0,U349&gt;0), S349*ROUND(U349,0) / 1000, "")</f>
        <v/>
      </c>
      <c r="Z349" s="100" t="str">
        <f aca="false">IF(AND(Y349&lt;&gt;0,Y349&lt;&gt;""), "кг", "")</f>
        <v/>
      </c>
      <c r="AA349" s="10"/>
    </row>
    <row r="350" customFormat="false" ht="15" hidden="false" customHeight="true" outlineLevel="0" collapsed="false">
      <c r="B350" s="3"/>
      <c r="C350" s="85"/>
      <c r="D350" s="86"/>
      <c r="E350" s="86"/>
      <c r="F350" s="86"/>
      <c r="G350" s="86" t="s">
        <v>472</v>
      </c>
      <c r="H350" s="86"/>
      <c r="I350" s="87"/>
      <c r="J350" s="87"/>
      <c r="K350" s="86"/>
      <c r="L350" s="86"/>
      <c r="M350" s="87"/>
      <c r="N350" s="88"/>
      <c r="O350" s="88"/>
      <c r="R350" s="10"/>
      <c r="S350" s="89"/>
      <c r="T350" s="89"/>
      <c r="U350" s="90"/>
      <c r="V350" s="89"/>
      <c r="W350" s="91" t="str">
        <f aca="false">IF(OR(U350=0,N350=""), "", O350*ROUND(U350,0))</f>
        <v/>
      </c>
      <c r="X350" s="101" t="str">
        <f aca="false">IF(AND(N350="", U350&lt;&gt;""),"?",IF(AND(W350&lt;&gt;0,W350&lt;&gt;""), "р.", ""))</f>
        <v/>
      </c>
      <c r="Y350" s="93" t="str">
        <f aca="false">IF(AND(S350&gt;0,U350&gt;0), S350*ROUND(U350,0) / 1000, "")</f>
        <v/>
      </c>
      <c r="Z350" s="101" t="str">
        <f aca="false">IF(AND(Y350&lt;&gt;0,Y350&lt;&gt;""), "кг", "")</f>
        <v/>
      </c>
      <c r="AA350" s="10"/>
    </row>
    <row r="351" customFormat="false" ht="14.15" hidden="false" customHeight="true" outlineLevel="0" collapsed="false">
      <c r="B351" s="173"/>
      <c r="C351" s="74" t="str">
        <f aca="false">HYPERLINK("http://www.emi-penza.ru/p/519/", "35.3787-30")</f>
        <v>35.3787-30</v>
      </c>
      <c r="D351" s="75" t="s">
        <v>476</v>
      </c>
      <c r="E351" s="75"/>
      <c r="F351" s="75"/>
      <c r="G351" s="75" t="s">
        <v>469</v>
      </c>
      <c r="H351" s="75"/>
      <c r="I351" s="76"/>
      <c r="J351" s="76"/>
      <c r="K351" s="75" t="s">
        <v>477</v>
      </c>
      <c r="L351" s="75"/>
      <c r="M351" s="76" t="s">
        <v>478</v>
      </c>
      <c r="N351" s="77" t="n">
        <v>85</v>
      </c>
      <c r="O351" s="77" t="n">
        <f aca="false">ROUND(N351*1.2, 2)</f>
        <v>102</v>
      </c>
      <c r="R351" s="10"/>
      <c r="S351" s="78" t="n">
        <v>37</v>
      </c>
      <c r="T351" s="78"/>
      <c r="U351" s="79" t="n">
        <v>0</v>
      </c>
      <c r="V351" s="78"/>
      <c r="W351" s="80" t="str">
        <f aca="false">IF(OR(U351=0,N351=""), "", O351*ROUND(U351,0))</f>
        <v/>
      </c>
      <c r="X351" s="100" t="str">
        <f aca="false">IF(AND(N351="", U351&lt;&gt;""),"?",IF(AND(W351&lt;&gt;0,W351&lt;&gt;""), "р.", ""))</f>
        <v/>
      </c>
      <c r="Y351" s="82" t="str">
        <f aca="false">IF(AND(S351&gt;0,U351&gt;0), S351*ROUND(U351,0) / 1000, "")</f>
        <v/>
      </c>
      <c r="Z351" s="100" t="str">
        <f aca="false">IF(AND(Y351&lt;&gt;0,Y351&lt;&gt;""), "кг", "")</f>
        <v/>
      </c>
      <c r="AA351" s="10"/>
    </row>
    <row r="352" customFormat="false" ht="15" hidden="false" customHeight="true" outlineLevel="0" collapsed="false">
      <c r="B352" s="3"/>
      <c r="C352" s="85"/>
      <c r="D352" s="86"/>
      <c r="E352" s="86"/>
      <c r="F352" s="86"/>
      <c r="G352" s="86" t="s">
        <v>472</v>
      </c>
      <c r="H352" s="86"/>
      <c r="I352" s="87"/>
      <c r="J352" s="87"/>
      <c r="K352" s="86" t="s">
        <v>479</v>
      </c>
      <c r="L352" s="86"/>
      <c r="M352" s="87"/>
      <c r="N352" s="88"/>
      <c r="O352" s="88"/>
      <c r="R352" s="10"/>
      <c r="S352" s="89"/>
      <c r="T352" s="89"/>
      <c r="U352" s="90"/>
      <c r="V352" s="89"/>
      <c r="W352" s="91" t="str">
        <f aca="false">IF(OR(U352=0,N352=""), "", O352*ROUND(U352,0))</f>
        <v/>
      </c>
      <c r="X352" s="101" t="str">
        <f aca="false">IF(AND(N352="", U352&lt;&gt;""),"?",IF(AND(W352&lt;&gt;0,W352&lt;&gt;""), "р.", ""))</f>
        <v/>
      </c>
      <c r="Y352" s="93" t="str">
        <f aca="false">IF(AND(S352&gt;0,U352&gt;0), S352*ROUND(U352,0) / 1000, "")</f>
        <v/>
      </c>
      <c r="Z352" s="101" t="str">
        <f aca="false">IF(AND(Y352&lt;&gt;0,Y352&lt;&gt;""), "кг", "")</f>
        <v/>
      </c>
      <c r="AA352" s="10"/>
    </row>
    <row r="353" customFormat="false" ht="14.15" hidden="false" customHeight="true" outlineLevel="0" collapsed="false">
      <c r="B353" s="173"/>
      <c r="C353" s="74" t="str">
        <f aca="false">HYPERLINK("http://www.emi-penza.ru/p/551/", "46.3787")</f>
        <v>46.3787</v>
      </c>
      <c r="D353" s="75" t="s">
        <v>480</v>
      </c>
      <c r="E353" s="75"/>
      <c r="F353" s="75"/>
      <c r="G353" s="75" t="s">
        <v>481</v>
      </c>
      <c r="H353" s="75"/>
      <c r="I353" s="76"/>
      <c r="J353" s="76"/>
      <c r="K353" s="75" t="s">
        <v>482</v>
      </c>
      <c r="L353" s="75"/>
      <c r="M353" s="76" t="s">
        <v>483</v>
      </c>
      <c r="N353" s="77" t="n">
        <v>99</v>
      </c>
      <c r="O353" s="77" t="n">
        <f aca="false">ROUND(N353*1.2, 2)</f>
        <v>118.8</v>
      </c>
      <c r="R353" s="10"/>
      <c r="S353" s="78" t="n">
        <v>29</v>
      </c>
      <c r="T353" s="78"/>
      <c r="U353" s="79" t="n">
        <v>0</v>
      </c>
      <c r="V353" s="78"/>
      <c r="W353" s="80" t="str">
        <f aca="false">IF(OR(U353=0,N353=""), "", O353*ROUND(U353,0))</f>
        <v/>
      </c>
      <c r="X353" s="100" t="str">
        <f aca="false">IF(AND(N353="", U353&lt;&gt;""),"?",IF(AND(W353&lt;&gt;0,W353&lt;&gt;""), "р.", ""))</f>
        <v/>
      </c>
      <c r="Y353" s="82" t="str">
        <f aca="false">IF(AND(S353&gt;0,U353&gt;0), S353*ROUND(U353,0) / 1000, "")</f>
        <v/>
      </c>
      <c r="Z353" s="100" t="str">
        <f aca="false">IF(AND(Y353&lt;&gt;0,Y353&lt;&gt;""), "кг", "")</f>
        <v/>
      </c>
      <c r="AA353" s="10"/>
    </row>
    <row r="354" customFormat="false" ht="15" hidden="false" customHeight="true" outlineLevel="0" collapsed="false">
      <c r="B354" s="3"/>
      <c r="C354" s="85"/>
      <c r="D354" s="86"/>
      <c r="E354" s="86"/>
      <c r="F354" s="86"/>
      <c r="G354" s="86" t="s">
        <v>484</v>
      </c>
      <c r="H354" s="86"/>
      <c r="I354" s="87"/>
      <c r="J354" s="87"/>
      <c r="K354" s="86" t="s">
        <v>485</v>
      </c>
      <c r="L354" s="86"/>
      <c r="M354" s="87"/>
      <c r="N354" s="88"/>
      <c r="O354" s="88"/>
      <c r="R354" s="10"/>
      <c r="S354" s="89"/>
      <c r="T354" s="89"/>
      <c r="U354" s="90"/>
      <c r="V354" s="89"/>
      <c r="W354" s="91" t="str">
        <f aca="false">IF(OR(U354=0,N354=""), "", O354*ROUND(U354,0))</f>
        <v/>
      </c>
      <c r="X354" s="101" t="str">
        <f aca="false">IF(AND(N354="", U354&lt;&gt;""),"?",IF(AND(W354&lt;&gt;0,W354&lt;&gt;""), "р.", ""))</f>
        <v/>
      </c>
      <c r="Y354" s="93" t="str">
        <f aca="false">IF(AND(S354&gt;0,U354&gt;0), S354*ROUND(U354,0) / 1000, "")</f>
        <v/>
      </c>
      <c r="Z354" s="101" t="str">
        <f aca="false">IF(AND(Y354&lt;&gt;0,Y354&lt;&gt;""), "кг", "")</f>
        <v/>
      </c>
      <c r="AA354" s="10"/>
    </row>
    <row r="355" customFormat="false" ht="14.15" hidden="false" customHeight="true" outlineLevel="0" collapsed="false">
      <c r="B355" s="173"/>
      <c r="C355" s="74" t="str">
        <f aca="false">HYPERLINK("http://www.emi-penza.ru/p/534/", "46.3787-01")</f>
        <v>46.3787-01</v>
      </c>
      <c r="D355" s="75" t="s">
        <v>486</v>
      </c>
      <c r="E355" s="75"/>
      <c r="F355" s="75"/>
      <c r="G355" s="75" t="s">
        <v>481</v>
      </c>
      <c r="H355" s="75"/>
      <c r="I355" s="76"/>
      <c r="J355" s="76"/>
      <c r="K355" s="75" t="s">
        <v>487</v>
      </c>
      <c r="L355" s="75"/>
      <c r="M355" s="76" t="s">
        <v>483</v>
      </c>
      <c r="N355" s="77" t="n">
        <v>99</v>
      </c>
      <c r="O355" s="77" t="n">
        <f aca="false">ROUND(N355*1.2, 2)</f>
        <v>118.8</v>
      </c>
      <c r="R355" s="10"/>
      <c r="S355" s="78" t="n">
        <v>29</v>
      </c>
      <c r="T355" s="78"/>
      <c r="U355" s="79" t="n">
        <v>0</v>
      </c>
      <c r="V355" s="78"/>
      <c r="W355" s="80" t="str">
        <f aca="false">IF(OR(U355=0,N355=""), "", O355*ROUND(U355,0))</f>
        <v/>
      </c>
      <c r="X355" s="100" t="str">
        <f aca="false">IF(AND(N355="", U355&lt;&gt;""),"?",IF(AND(W355&lt;&gt;0,W355&lt;&gt;""), "р.", ""))</f>
        <v/>
      </c>
      <c r="Y355" s="82" t="str">
        <f aca="false">IF(AND(S355&gt;0,U355&gt;0), S355*ROUND(U355,0) / 1000, "")</f>
        <v/>
      </c>
      <c r="Z355" s="100" t="str">
        <f aca="false">IF(AND(Y355&lt;&gt;0,Y355&lt;&gt;""), "кг", "")</f>
        <v/>
      </c>
      <c r="AA355" s="10"/>
    </row>
    <row r="356" customFormat="false" ht="15" hidden="false" customHeight="true" outlineLevel="0" collapsed="false">
      <c r="B356" s="3"/>
      <c r="C356" s="85"/>
      <c r="D356" s="86"/>
      <c r="E356" s="86"/>
      <c r="F356" s="86"/>
      <c r="G356" s="86" t="s">
        <v>484</v>
      </c>
      <c r="H356" s="86"/>
      <c r="I356" s="87"/>
      <c r="J356" s="87"/>
      <c r="K356" s="86"/>
      <c r="L356" s="86"/>
      <c r="M356" s="87"/>
      <c r="N356" s="88"/>
      <c r="O356" s="88"/>
      <c r="R356" s="10"/>
      <c r="S356" s="89"/>
      <c r="T356" s="89"/>
      <c r="U356" s="90"/>
      <c r="V356" s="89"/>
      <c r="W356" s="91" t="str">
        <f aca="false">IF(OR(U356=0,N356=""), "", O356*ROUND(U356,0))</f>
        <v/>
      </c>
      <c r="X356" s="101" t="str">
        <f aca="false">IF(AND(N356="", U356&lt;&gt;""),"?",IF(AND(W356&lt;&gt;0,W356&lt;&gt;""), "р.", ""))</f>
        <v/>
      </c>
      <c r="Y356" s="93" t="str">
        <f aca="false">IF(AND(S356&gt;0,U356&gt;0), S356*ROUND(U356,0) / 1000, "")</f>
        <v/>
      </c>
      <c r="Z356" s="101" t="str">
        <f aca="false">IF(AND(Y356&lt;&gt;0,Y356&lt;&gt;""), "кг", "")</f>
        <v/>
      </c>
      <c r="AA356" s="10"/>
    </row>
    <row r="357" customFormat="false" ht="14.15" hidden="false" customHeight="true" outlineLevel="0" collapsed="false">
      <c r="B357" s="173"/>
      <c r="C357" s="74" t="str">
        <f aca="false">HYPERLINK("http://www.emi-penza.ru/p/531/", "46.3787-02")</f>
        <v>46.3787-02</v>
      </c>
      <c r="D357" s="75" t="s">
        <v>488</v>
      </c>
      <c r="E357" s="75"/>
      <c r="F357" s="75"/>
      <c r="G357" s="75" t="s">
        <v>481</v>
      </c>
      <c r="H357" s="75"/>
      <c r="I357" s="76"/>
      <c r="J357" s="76"/>
      <c r="K357" s="75" t="s">
        <v>489</v>
      </c>
      <c r="L357" s="75"/>
      <c r="M357" s="76" t="s">
        <v>483</v>
      </c>
      <c r="N357" s="77" t="n">
        <v>99</v>
      </c>
      <c r="O357" s="77" t="n">
        <f aca="false">ROUND(N357*1.2, 2)</f>
        <v>118.8</v>
      </c>
      <c r="R357" s="10"/>
      <c r="S357" s="78" t="n">
        <v>30</v>
      </c>
      <c r="T357" s="78"/>
      <c r="U357" s="79" t="n">
        <v>0</v>
      </c>
      <c r="V357" s="78"/>
      <c r="W357" s="80" t="str">
        <f aca="false">IF(OR(U357=0,N357=""), "", O357*ROUND(U357,0))</f>
        <v/>
      </c>
      <c r="X357" s="100" t="str">
        <f aca="false">IF(AND(N357="", U357&lt;&gt;""),"?",IF(AND(W357&lt;&gt;0,W357&lt;&gt;""), "р.", ""))</f>
        <v/>
      </c>
      <c r="Y357" s="82" t="str">
        <f aca="false">IF(AND(S357&gt;0,U357&gt;0), S357*ROUND(U357,0) / 1000, "")</f>
        <v/>
      </c>
      <c r="Z357" s="100" t="str">
        <f aca="false">IF(AND(Y357&lt;&gt;0,Y357&lt;&gt;""), "кг", "")</f>
        <v/>
      </c>
      <c r="AA357" s="10"/>
    </row>
    <row r="358" customFormat="false" ht="15" hidden="false" customHeight="true" outlineLevel="0" collapsed="false">
      <c r="B358" s="3"/>
      <c r="C358" s="85"/>
      <c r="D358" s="86"/>
      <c r="E358" s="86"/>
      <c r="F358" s="86"/>
      <c r="G358" s="86" t="s">
        <v>484</v>
      </c>
      <c r="H358" s="86"/>
      <c r="I358" s="87"/>
      <c r="J358" s="87"/>
      <c r="K358" s="86" t="s">
        <v>490</v>
      </c>
      <c r="L358" s="86"/>
      <c r="M358" s="87"/>
      <c r="N358" s="88"/>
      <c r="O358" s="88"/>
      <c r="R358" s="10"/>
      <c r="S358" s="89"/>
      <c r="T358" s="89"/>
      <c r="U358" s="90"/>
      <c r="V358" s="89"/>
      <c r="W358" s="91" t="str">
        <f aca="false">IF(OR(U358=0,N358=""), "", O358*ROUND(U358,0))</f>
        <v/>
      </c>
      <c r="X358" s="101" t="str">
        <f aca="false">IF(AND(N358="", U358&lt;&gt;""),"?",IF(AND(W358&lt;&gt;0,W358&lt;&gt;""), "р.", ""))</f>
        <v/>
      </c>
      <c r="Y358" s="93" t="str">
        <f aca="false">IF(AND(S358&gt;0,U358&gt;0), S358*ROUND(U358,0) / 1000, "")</f>
        <v/>
      </c>
      <c r="Z358" s="101" t="str">
        <f aca="false">IF(AND(Y358&lt;&gt;0,Y358&lt;&gt;""), "кг", "")</f>
        <v/>
      </c>
      <c r="AA358" s="10"/>
    </row>
    <row r="359" customFormat="false" ht="14.15" hidden="false" customHeight="true" outlineLevel="0" collapsed="false">
      <c r="B359" s="173"/>
      <c r="C359" s="74" t="str">
        <f aca="false">HYPERLINK("http://www.emi-penza.ru/p/552/", "46.3787-03")</f>
        <v>46.3787-03</v>
      </c>
      <c r="D359" s="75" t="s">
        <v>491</v>
      </c>
      <c r="E359" s="75"/>
      <c r="F359" s="75"/>
      <c r="G359" s="75" t="s">
        <v>481</v>
      </c>
      <c r="H359" s="75"/>
      <c r="I359" s="76"/>
      <c r="J359" s="76"/>
      <c r="K359" s="75"/>
      <c r="L359" s="75"/>
      <c r="M359" s="76" t="s">
        <v>492</v>
      </c>
      <c r="N359" s="77" t="n">
        <v>105</v>
      </c>
      <c r="O359" s="77" t="n">
        <f aca="false">ROUND(N359*1.2, 2)</f>
        <v>126</v>
      </c>
      <c r="R359" s="10"/>
      <c r="S359" s="78" t="n">
        <v>30</v>
      </c>
      <c r="T359" s="78"/>
      <c r="U359" s="79" t="n">
        <v>0</v>
      </c>
      <c r="V359" s="78"/>
      <c r="W359" s="80" t="str">
        <f aca="false">IF(OR(U359=0,N359=""), "", O359*ROUND(U359,0))</f>
        <v/>
      </c>
      <c r="X359" s="100" t="str">
        <f aca="false">IF(AND(N359="", U359&lt;&gt;""),"?",IF(AND(W359&lt;&gt;0,W359&lt;&gt;""), "р.", ""))</f>
        <v/>
      </c>
      <c r="Y359" s="82" t="str">
        <f aca="false">IF(AND(S359&gt;0,U359&gt;0), S359*ROUND(U359,0) / 1000, "")</f>
        <v/>
      </c>
      <c r="Z359" s="100" t="str">
        <f aca="false">IF(AND(Y359&lt;&gt;0,Y359&lt;&gt;""), "кг", "")</f>
        <v/>
      </c>
      <c r="AA359" s="10"/>
    </row>
    <row r="360" customFormat="false" ht="15" hidden="false" customHeight="true" outlineLevel="0" collapsed="false">
      <c r="B360" s="3"/>
      <c r="C360" s="85"/>
      <c r="D360" s="86"/>
      <c r="E360" s="86"/>
      <c r="F360" s="86"/>
      <c r="G360" s="86" t="s">
        <v>484</v>
      </c>
      <c r="H360" s="86"/>
      <c r="I360" s="87"/>
      <c r="J360" s="87"/>
      <c r="K360" s="86"/>
      <c r="L360" s="86"/>
      <c r="M360" s="87"/>
      <c r="N360" s="88"/>
      <c r="O360" s="88"/>
      <c r="R360" s="10"/>
      <c r="S360" s="89"/>
      <c r="T360" s="89"/>
      <c r="U360" s="90"/>
      <c r="V360" s="89"/>
      <c r="W360" s="91" t="str">
        <f aca="false">IF(OR(U360=0,N360=""), "", O360*ROUND(U360,0))</f>
        <v/>
      </c>
      <c r="X360" s="101" t="str">
        <f aca="false">IF(AND(N360="", U360&lt;&gt;""),"?",IF(AND(W360&lt;&gt;0,W360&lt;&gt;""), "р.", ""))</f>
        <v/>
      </c>
      <c r="Y360" s="93" t="str">
        <f aca="false">IF(AND(S360&gt;0,U360&gt;0), S360*ROUND(U360,0) / 1000, "")</f>
        <v/>
      </c>
      <c r="Z360" s="101" t="str">
        <f aca="false">IF(AND(Y360&lt;&gt;0,Y360&lt;&gt;""), "кг", "")</f>
        <v/>
      </c>
      <c r="AA360" s="10"/>
    </row>
    <row r="361" customFormat="false" ht="14.15" hidden="false" customHeight="true" outlineLevel="0" collapsed="false">
      <c r="B361" s="173"/>
      <c r="C361" s="74" t="str">
        <f aca="false">HYPERLINK("http://www.emi-penza.ru/p/535/", "46.3787-11")</f>
        <v>46.3787-11</v>
      </c>
      <c r="D361" s="75" t="s">
        <v>493</v>
      </c>
      <c r="E361" s="75"/>
      <c r="F361" s="75"/>
      <c r="G361" s="75" t="s">
        <v>481</v>
      </c>
      <c r="H361" s="75"/>
      <c r="I361" s="76"/>
      <c r="J361" s="76"/>
      <c r="K361" s="75" t="s">
        <v>494</v>
      </c>
      <c r="L361" s="75"/>
      <c r="M361" s="76" t="s">
        <v>495</v>
      </c>
      <c r="N361" s="77" t="n">
        <v>103</v>
      </c>
      <c r="O361" s="77" t="n">
        <f aca="false">ROUND(N361*1.2, 2)</f>
        <v>123.6</v>
      </c>
      <c r="R361" s="10"/>
      <c r="S361" s="78" t="n">
        <v>30</v>
      </c>
      <c r="T361" s="78"/>
      <c r="U361" s="79" t="n">
        <v>0</v>
      </c>
      <c r="V361" s="78"/>
      <c r="W361" s="80" t="str">
        <f aca="false">IF(OR(U361=0,N361=""), "", O361*ROUND(U361,0))</f>
        <v/>
      </c>
      <c r="X361" s="100" t="str">
        <f aca="false">IF(AND(N361="", U361&lt;&gt;""),"?",IF(AND(W361&lt;&gt;0,W361&lt;&gt;""), "р.", ""))</f>
        <v/>
      </c>
      <c r="Y361" s="82" t="str">
        <f aca="false">IF(AND(S361&gt;0,U361&gt;0), S361*ROUND(U361,0) / 1000, "")</f>
        <v/>
      </c>
      <c r="Z361" s="100" t="str">
        <f aca="false">IF(AND(Y361&lt;&gt;0,Y361&lt;&gt;""), "кг", "")</f>
        <v/>
      </c>
      <c r="AA361" s="10"/>
    </row>
    <row r="362" customFormat="false" ht="15" hidden="false" customHeight="true" outlineLevel="0" collapsed="false">
      <c r="B362" s="3"/>
      <c r="C362" s="85"/>
      <c r="D362" s="86"/>
      <c r="E362" s="86"/>
      <c r="F362" s="86"/>
      <c r="G362" s="86" t="s">
        <v>484</v>
      </c>
      <c r="H362" s="86"/>
      <c r="I362" s="87"/>
      <c r="J362" s="87"/>
      <c r="K362" s="86" t="s">
        <v>496</v>
      </c>
      <c r="L362" s="86"/>
      <c r="M362" s="87"/>
      <c r="N362" s="88"/>
      <c r="O362" s="88"/>
      <c r="R362" s="10"/>
      <c r="S362" s="89"/>
      <c r="T362" s="89"/>
      <c r="U362" s="90"/>
      <c r="V362" s="89"/>
      <c r="W362" s="91" t="str">
        <f aca="false">IF(OR(U362=0,N362=""), "", O362*ROUND(U362,0))</f>
        <v/>
      </c>
      <c r="X362" s="101" t="str">
        <f aca="false">IF(AND(N362="", U362&lt;&gt;""),"?",IF(AND(W362&lt;&gt;0,W362&lt;&gt;""), "р.", ""))</f>
        <v/>
      </c>
      <c r="Y362" s="93" t="str">
        <f aca="false">IF(AND(S362&gt;0,U362&gt;0), S362*ROUND(U362,0) / 1000, "")</f>
        <v/>
      </c>
      <c r="Z362" s="101" t="str">
        <f aca="false">IF(AND(Y362&lt;&gt;0,Y362&lt;&gt;""), "кг", "")</f>
        <v/>
      </c>
      <c r="AA362" s="10"/>
    </row>
    <row r="363" customFormat="false" ht="14.15" hidden="false" customHeight="true" outlineLevel="0" collapsed="false">
      <c r="B363" s="173"/>
      <c r="C363" s="74" t="str">
        <f aca="false">HYPERLINK("http://www.emi-penza.ru/p/536/", "46.3787-21")</f>
        <v>46.3787-21</v>
      </c>
      <c r="D363" s="75" t="s">
        <v>497</v>
      </c>
      <c r="E363" s="75"/>
      <c r="F363" s="75"/>
      <c r="G363" s="75" t="s">
        <v>498</v>
      </c>
      <c r="H363" s="75"/>
      <c r="I363" s="76"/>
      <c r="J363" s="76"/>
      <c r="K363" s="75" t="s">
        <v>499</v>
      </c>
      <c r="L363" s="75"/>
      <c r="M363" s="76" t="s">
        <v>483</v>
      </c>
      <c r="N363" s="77" t="n">
        <v>101</v>
      </c>
      <c r="O363" s="77" t="n">
        <f aca="false">ROUND(N363*1.2, 2)</f>
        <v>121.2</v>
      </c>
      <c r="R363" s="10"/>
      <c r="S363" s="78" t="n">
        <v>27</v>
      </c>
      <c r="T363" s="78"/>
      <c r="U363" s="79" t="n">
        <v>0</v>
      </c>
      <c r="V363" s="78"/>
      <c r="W363" s="80" t="str">
        <f aca="false">IF(OR(U363=0,N363=""), "", O363*ROUND(U363,0))</f>
        <v/>
      </c>
      <c r="X363" s="100" t="str">
        <f aca="false">IF(AND(N363="", U363&lt;&gt;""),"?",IF(AND(W363&lt;&gt;0,W363&lt;&gt;""), "р.", ""))</f>
        <v/>
      </c>
      <c r="Y363" s="82" t="str">
        <f aca="false">IF(AND(S363&gt;0,U363&gt;0), S363*ROUND(U363,0) / 1000, "")</f>
        <v/>
      </c>
      <c r="Z363" s="100" t="str">
        <f aca="false">IF(AND(Y363&lt;&gt;0,Y363&lt;&gt;""), "кг", "")</f>
        <v/>
      </c>
      <c r="AA363" s="10"/>
    </row>
    <row r="364" customFormat="false" ht="15" hidden="false" customHeight="true" outlineLevel="0" collapsed="false">
      <c r="B364" s="3"/>
      <c r="C364" s="85"/>
      <c r="D364" s="86"/>
      <c r="E364" s="86"/>
      <c r="F364" s="86"/>
      <c r="G364" s="86" t="s">
        <v>500</v>
      </c>
      <c r="H364" s="86"/>
      <c r="I364" s="87"/>
      <c r="J364" s="87"/>
      <c r="K364" s="86"/>
      <c r="L364" s="86"/>
      <c r="M364" s="87"/>
      <c r="N364" s="88"/>
      <c r="O364" s="88"/>
      <c r="R364" s="10"/>
      <c r="S364" s="89"/>
      <c r="T364" s="89"/>
      <c r="U364" s="90"/>
      <c r="V364" s="89"/>
      <c r="W364" s="91" t="str">
        <f aca="false">IF(OR(U364=0,N364=""), "", O364*ROUND(U364,0))</f>
        <v/>
      </c>
      <c r="X364" s="101" t="str">
        <f aca="false">IF(AND(N364="", U364&lt;&gt;""),"?",IF(AND(W364&lt;&gt;0,W364&lt;&gt;""), "р.", ""))</f>
        <v/>
      </c>
      <c r="Y364" s="93" t="str">
        <f aca="false">IF(AND(S364&gt;0,U364&gt;0), S364*ROUND(U364,0) / 1000, "")</f>
        <v/>
      </c>
      <c r="Z364" s="101" t="str">
        <f aca="false">IF(AND(Y364&lt;&gt;0,Y364&lt;&gt;""), "кг", "")</f>
        <v/>
      </c>
      <c r="AA364" s="10"/>
    </row>
    <row r="365" customFormat="false" ht="14.15" hidden="false" customHeight="true" outlineLevel="0" collapsed="false">
      <c r="B365" s="173"/>
      <c r="C365" s="74" t="str">
        <f aca="false">HYPERLINK("http://www.emi-penza.ru/p/554/", "46.3787-32")</f>
        <v>46.3787-32</v>
      </c>
      <c r="D365" s="75" t="s">
        <v>501</v>
      </c>
      <c r="E365" s="75"/>
      <c r="F365" s="75"/>
      <c r="G365" s="75" t="s">
        <v>498</v>
      </c>
      <c r="H365" s="75"/>
      <c r="I365" s="76"/>
      <c r="J365" s="76"/>
      <c r="K365" s="75" t="s">
        <v>502</v>
      </c>
      <c r="L365" s="75"/>
      <c r="M365" s="76" t="s">
        <v>503</v>
      </c>
      <c r="N365" s="77" t="n">
        <v>139</v>
      </c>
      <c r="O365" s="77" t="n">
        <f aca="false">ROUND(N365*1.2, 2)</f>
        <v>166.8</v>
      </c>
      <c r="R365" s="10"/>
      <c r="S365" s="78" t="n">
        <v>35</v>
      </c>
      <c r="T365" s="78"/>
      <c r="U365" s="79" t="n">
        <v>0</v>
      </c>
      <c r="V365" s="78"/>
      <c r="W365" s="80" t="str">
        <f aca="false">IF(OR(U365=0,N365=""), "", O365*ROUND(U365,0))</f>
        <v/>
      </c>
      <c r="X365" s="100" t="str">
        <f aca="false">IF(AND(N365="", U365&lt;&gt;""),"?",IF(AND(W365&lt;&gt;0,W365&lt;&gt;""), "р.", ""))</f>
        <v/>
      </c>
      <c r="Y365" s="82" t="str">
        <f aca="false">IF(AND(S365&gt;0,U365&gt;0), S365*ROUND(U365,0) / 1000, "")</f>
        <v/>
      </c>
      <c r="Z365" s="100" t="str">
        <f aca="false">IF(AND(Y365&lt;&gt;0,Y365&lt;&gt;""), "кг", "")</f>
        <v/>
      </c>
      <c r="AA365" s="10"/>
    </row>
    <row r="366" customFormat="false" ht="15" hidden="false" customHeight="true" outlineLevel="0" collapsed="false">
      <c r="B366" s="3"/>
      <c r="C366" s="85"/>
      <c r="D366" s="86"/>
      <c r="E366" s="86"/>
      <c r="F366" s="86"/>
      <c r="G366" s="86" t="s">
        <v>500</v>
      </c>
      <c r="H366" s="86"/>
      <c r="I366" s="87"/>
      <c r="J366" s="87"/>
      <c r="K366" s="86"/>
      <c r="L366" s="86"/>
      <c r="M366" s="87"/>
      <c r="N366" s="88"/>
      <c r="O366" s="88"/>
      <c r="R366" s="10"/>
      <c r="S366" s="89"/>
      <c r="T366" s="89"/>
      <c r="U366" s="90"/>
      <c r="V366" s="89"/>
      <c r="W366" s="91" t="str">
        <f aca="false">IF(OR(U366=0,N366=""), "", O366*ROUND(U366,0))</f>
        <v/>
      </c>
      <c r="X366" s="101" t="str">
        <f aca="false">IF(AND(N366="", U366&lt;&gt;""),"?",IF(AND(W366&lt;&gt;0,W366&lt;&gt;""), "р.", ""))</f>
        <v/>
      </c>
      <c r="Y366" s="93" t="str">
        <f aca="false">IF(AND(S366&gt;0,U366&gt;0), S366*ROUND(U366,0) / 1000, "")</f>
        <v/>
      </c>
      <c r="Z366" s="101" t="str">
        <f aca="false">IF(AND(Y366&lt;&gt;0,Y366&lt;&gt;""), "кг", "")</f>
        <v/>
      </c>
      <c r="AA366" s="10"/>
    </row>
    <row r="367" customFormat="false" ht="14.15" hidden="false" customHeight="true" outlineLevel="0" collapsed="false">
      <c r="B367" s="173"/>
      <c r="C367" s="74" t="str">
        <f aca="false">HYPERLINK("http://www.emi-penza.ru/p/556/", "46.3787-111")</f>
        <v>46.3787-111</v>
      </c>
      <c r="D367" s="75" t="s">
        <v>504</v>
      </c>
      <c r="E367" s="75"/>
      <c r="F367" s="75"/>
      <c r="G367" s="75" t="s">
        <v>498</v>
      </c>
      <c r="H367" s="75"/>
      <c r="I367" s="76"/>
      <c r="J367" s="76"/>
      <c r="K367" s="75" t="s">
        <v>505</v>
      </c>
      <c r="L367" s="75"/>
      <c r="M367" s="76" t="s">
        <v>495</v>
      </c>
      <c r="N367" s="77" t="n">
        <v>105</v>
      </c>
      <c r="O367" s="77" t="n">
        <f aca="false">ROUND(N367*1.2, 2)</f>
        <v>126</v>
      </c>
      <c r="R367" s="10"/>
      <c r="S367" s="78" t="n">
        <v>35</v>
      </c>
      <c r="T367" s="78"/>
      <c r="U367" s="79" t="n">
        <v>0</v>
      </c>
      <c r="V367" s="78"/>
      <c r="W367" s="80" t="str">
        <f aca="false">IF(OR(U367=0,N367=""), "", O367*ROUND(U367,0))</f>
        <v/>
      </c>
      <c r="X367" s="100" t="str">
        <f aca="false">IF(AND(N367="", U367&lt;&gt;""),"?",IF(AND(W367&lt;&gt;0,W367&lt;&gt;""), "р.", ""))</f>
        <v/>
      </c>
      <c r="Y367" s="82" t="str">
        <f aca="false">IF(AND(S367&gt;0,U367&gt;0), S367*ROUND(U367,0) / 1000, "")</f>
        <v/>
      </c>
      <c r="Z367" s="100" t="str">
        <f aca="false">IF(AND(Y367&lt;&gt;0,Y367&lt;&gt;""), "кг", "")</f>
        <v/>
      </c>
      <c r="AA367" s="10"/>
    </row>
    <row r="368" customFormat="false" ht="15" hidden="false" customHeight="true" outlineLevel="0" collapsed="false">
      <c r="B368" s="3"/>
      <c r="C368" s="85"/>
      <c r="D368" s="86"/>
      <c r="E368" s="86"/>
      <c r="F368" s="86"/>
      <c r="G368" s="86" t="s">
        <v>500</v>
      </c>
      <c r="H368" s="86"/>
      <c r="I368" s="87"/>
      <c r="J368" s="87"/>
      <c r="K368" s="86"/>
      <c r="L368" s="86"/>
      <c r="M368" s="87"/>
      <c r="N368" s="88"/>
      <c r="O368" s="88"/>
      <c r="R368" s="10"/>
      <c r="S368" s="89"/>
      <c r="T368" s="89"/>
      <c r="U368" s="90"/>
      <c r="V368" s="89"/>
      <c r="W368" s="91" t="str">
        <f aca="false">IF(OR(U368=0,N368=""), "", O368*ROUND(U368,0))</f>
        <v/>
      </c>
      <c r="X368" s="101" t="str">
        <f aca="false">IF(AND(N368="", U368&lt;&gt;""),"?",IF(AND(W368&lt;&gt;0,W368&lt;&gt;""), "р.", ""))</f>
        <v/>
      </c>
      <c r="Y368" s="93" t="str">
        <f aca="false">IF(AND(S368&gt;0,U368&gt;0), S368*ROUND(U368,0) / 1000, "")</f>
        <v/>
      </c>
      <c r="Z368" s="101" t="str">
        <f aca="false">IF(AND(Y368&lt;&gt;0,Y368&lt;&gt;""), "кг", "")</f>
        <v/>
      </c>
      <c r="AA368" s="10"/>
    </row>
    <row r="369" customFormat="false" ht="14.15" hidden="false" customHeight="true" outlineLevel="0" collapsed="false">
      <c r="B369" s="173"/>
      <c r="C369" s="74" t="str">
        <f aca="false">HYPERLINK("http://www.emi-penza.ru/p/520/", "47.3787")</f>
        <v>47.3787</v>
      </c>
      <c r="D369" s="75" t="s">
        <v>506</v>
      </c>
      <c r="E369" s="75"/>
      <c r="F369" s="75"/>
      <c r="G369" s="75" t="s">
        <v>469</v>
      </c>
      <c r="H369" s="75"/>
      <c r="I369" s="76"/>
      <c r="J369" s="76"/>
      <c r="K369" s="177" t="s">
        <v>507</v>
      </c>
      <c r="L369" s="177"/>
      <c r="M369" s="178" t="s">
        <v>508</v>
      </c>
      <c r="N369" s="77" t="n">
        <v>93</v>
      </c>
      <c r="O369" s="77" t="n">
        <f aca="false">ROUND(N369*1.2, 2)</f>
        <v>111.6</v>
      </c>
      <c r="R369" s="10"/>
      <c r="S369" s="78" t="n">
        <v>31</v>
      </c>
      <c r="T369" s="78"/>
      <c r="U369" s="79" t="n">
        <v>0</v>
      </c>
      <c r="V369" s="78"/>
      <c r="W369" s="80" t="str">
        <f aca="false">IF(OR(U369=0,N369=""), "", O369*ROUND(U369,0))</f>
        <v/>
      </c>
      <c r="X369" s="100" t="str">
        <f aca="false">IF(AND(N369="", U369&lt;&gt;""),"?",IF(AND(W369&lt;&gt;0,W369&lt;&gt;""), "р.", ""))</f>
        <v/>
      </c>
      <c r="Y369" s="82" t="str">
        <f aca="false">IF(AND(S369&gt;0,U369&gt;0), S369*ROUND(U369,0) / 1000, "")</f>
        <v/>
      </c>
      <c r="Z369" s="100" t="str">
        <f aca="false">IF(AND(Y369&lt;&gt;0,Y369&lt;&gt;""), "кг", "")</f>
        <v/>
      </c>
      <c r="AA369" s="10"/>
    </row>
    <row r="370" customFormat="false" ht="15" hidden="false" customHeight="true" outlineLevel="0" collapsed="false">
      <c r="B370" s="3"/>
      <c r="C370" s="85"/>
      <c r="D370" s="86"/>
      <c r="E370" s="86"/>
      <c r="F370" s="86"/>
      <c r="G370" s="86" t="s">
        <v>509</v>
      </c>
      <c r="H370" s="86"/>
      <c r="I370" s="87"/>
      <c r="J370" s="87"/>
      <c r="K370" s="86"/>
      <c r="L370" s="86"/>
      <c r="M370" s="87"/>
      <c r="N370" s="88"/>
      <c r="O370" s="88"/>
      <c r="R370" s="10"/>
      <c r="S370" s="89"/>
      <c r="T370" s="89"/>
      <c r="U370" s="90"/>
      <c r="V370" s="89"/>
      <c r="W370" s="91" t="str">
        <f aca="false">IF(OR(U370=0,N370=""), "", O370*ROUND(U370,0))</f>
        <v/>
      </c>
      <c r="X370" s="101" t="str">
        <f aca="false">IF(AND(N370="", U370&lt;&gt;""),"?",IF(AND(W370&lt;&gt;0,W370&lt;&gt;""), "р.", ""))</f>
        <v/>
      </c>
      <c r="Y370" s="93" t="str">
        <f aca="false">IF(AND(S370&gt;0,U370&gt;0), S370*ROUND(U370,0) / 1000, "")</f>
        <v/>
      </c>
      <c r="Z370" s="101" t="str">
        <f aca="false">IF(AND(Y370&lt;&gt;0,Y370&lt;&gt;""), "кг", "")</f>
        <v/>
      </c>
      <c r="AA370" s="10"/>
    </row>
    <row r="371" customFormat="false" ht="14.15" hidden="false" customHeight="true" outlineLevel="0" collapsed="false">
      <c r="B371" s="173"/>
      <c r="C371" s="74" t="str">
        <f aca="false">HYPERLINK("http://www.emi-penza.ru/p/521/", "47.3787-10")</f>
        <v>47.3787-10</v>
      </c>
      <c r="D371" s="75" t="s">
        <v>510</v>
      </c>
      <c r="E371" s="75"/>
      <c r="F371" s="75"/>
      <c r="G371" s="75" t="s">
        <v>469</v>
      </c>
      <c r="H371" s="75"/>
      <c r="I371" s="76"/>
      <c r="J371" s="76"/>
      <c r="K371" s="75" t="s">
        <v>511</v>
      </c>
      <c r="L371" s="75"/>
      <c r="M371" s="76" t="s">
        <v>512</v>
      </c>
      <c r="N371" s="77" t="n">
        <v>92</v>
      </c>
      <c r="O371" s="77" t="n">
        <f aca="false">ROUND(N371*1.2, 2)</f>
        <v>110.4</v>
      </c>
      <c r="R371" s="10"/>
      <c r="S371" s="78" t="n">
        <v>29</v>
      </c>
      <c r="T371" s="78"/>
      <c r="U371" s="79" t="n">
        <v>0</v>
      </c>
      <c r="V371" s="78"/>
      <c r="W371" s="80" t="str">
        <f aca="false">IF(OR(U371=0,N371=""), "", O371*ROUND(U371,0))</f>
        <v/>
      </c>
      <c r="X371" s="100" t="str">
        <f aca="false">IF(AND(N371="", U371&lt;&gt;""),"?",IF(AND(W371&lt;&gt;0,W371&lt;&gt;""), "р.", ""))</f>
        <v/>
      </c>
      <c r="Y371" s="82" t="str">
        <f aca="false">IF(AND(S371&gt;0,U371&gt;0), S371*ROUND(U371,0) / 1000, "")</f>
        <v/>
      </c>
      <c r="Z371" s="100" t="str">
        <f aca="false">IF(AND(Y371&lt;&gt;0,Y371&lt;&gt;""), "кг", "")</f>
        <v/>
      </c>
      <c r="AA371" s="10"/>
    </row>
    <row r="372" customFormat="false" ht="15" hidden="false" customHeight="true" outlineLevel="0" collapsed="false">
      <c r="B372" s="3"/>
      <c r="C372" s="179"/>
      <c r="D372" s="180"/>
      <c r="E372" s="180"/>
      <c r="F372" s="180"/>
      <c r="G372" s="180" t="s">
        <v>509</v>
      </c>
      <c r="H372" s="180"/>
      <c r="I372" s="181"/>
      <c r="J372" s="181"/>
      <c r="K372" s="180"/>
      <c r="L372" s="180"/>
      <c r="M372" s="180"/>
      <c r="N372" s="182"/>
      <c r="O372" s="182"/>
      <c r="R372" s="10"/>
      <c r="S372" s="183"/>
      <c r="T372" s="183"/>
      <c r="U372" s="184"/>
      <c r="V372" s="183"/>
      <c r="W372" s="185" t="str">
        <f aca="false">IF(OR(U372=0,N372=""), "", O372*ROUND(U372,0))</f>
        <v/>
      </c>
      <c r="X372" s="186" t="str">
        <f aca="false">IF(AND(N372="", U372&lt;&gt;""),"?",IF(AND(W372&lt;&gt;0,W372&lt;&gt;""), "р.", ""))</f>
        <v/>
      </c>
      <c r="Y372" s="187" t="str">
        <f aca="false">IF(AND(S372&gt;0,U372&gt;0), S372*ROUND(U372,0) / 1000, "")</f>
        <v/>
      </c>
      <c r="Z372" s="186" t="str">
        <f aca="false">IF(AND(Y372&lt;&gt;0,Y372&lt;&gt;""), "кг", "")</f>
        <v/>
      </c>
      <c r="AA372" s="10"/>
    </row>
    <row r="373" customFormat="false" ht="14.15" hidden="false" customHeight="true" outlineLevel="0" collapsed="false">
      <c r="B373" s="173"/>
      <c r="C373" s="74" t="str">
        <f aca="false">HYPERLINK("http://www.emi-penza.ru/p/553/", "461.3787")</f>
        <v>461.3787</v>
      </c>
      <c r="D373" s="75" t="s">
        <v>513</v>
      </c>
      <c r="E373" s="75"/>
      <c r="F373" s="75"/>
      <c r="G373" s="75" t="s">
        <v>469</v>
      </c>
      <c r="H373" s="75"/>
      <c r="I373" s="76"/>
      <c r="J373" s="76"/>
      <c r="K373" s="75"/>
      <c r="L373" s="75"/>
      <c r="M373" s="76" t="s">
        <v>483</v>
      </c>
      <c r="N373" s="77" t="n">
        <v>99</v>
      </c>
      <c r="O373" s="77" t="n">
        <f aca="false">ROUND(N373*1.2, 2)</f>
        <v>118.8</v>
      </c>
      <c r="R373" s="10"/>
      <c r="S373" s="78" t="n">
        <v>31</v>
      </c>
      <c r="T373" s="78"/>
      <c r="U373" s="79" t="n">
        <v>0</v>
      </c>
      <c r="V373" s="78"/>
      <c r="W373" s="80" t="str">
        <f aca="false">IF(OR(U373=0,N373=""), "", O373*ROUND(U373,0))</f>
        <v/>
      </c>
      <c r="X373" s="100" t="str">
        <f aca="false">IF(AND(N373="", U373&lt;&gt;""),"?",IF(AND(W373&lt;&gt;0,W373&lt;&gt;""), "р.", ""))</f>
        <v/>
      </c>
      <c r="Y373" s="82" t="str">
        <f aca="false">IF(AND(S373&gt;0,U373&gt;0), S373*ROUND(U373,0) / 1000, "")</f>
        <v/>
      </c>
      <c r="Z373" s="100" t="str">
        <f aca="false">IF(AND(Y373&lt;&gt;0,Y373&lt;&gt;""), "кг", "")</f>
        <v/>
      </c>
      <c r="AA373" s="10"/>
    </row>
    <row r="374" customFormat="false" ht="15" hidden="false" customHeight="true" outlineLevel="0" collapsed="false">
      <c r="B374" s="3"/>
      <c r="C374" s="85"/>
      <c r="D374" s="86"/>
      <c r="E374" s="86"/>
      <c r="F374" s="86"/>
      <c r="G374" s="86" t="s">
        <v>509</v>
      </c>
      <c r="H374" s="86"/>
      <c r="I374" s="87"/>
      <c r="J374" s="87"/>
      <c r="K374" s="86"/>
      <c r="L374" s="86"/>
      <c r="M374" s="87"/>
      <c r="N374" s="88"/>
      <c r="O374" s="88"/>
      <c r="R374" s="10"/>
      <c r="S374" s="89"/>
      <c r="T374" s="89"/>
      <c r="U374" s="90"/>
      <c r="V374" s="89"/>
      <c r="W374" s="91" t="str">
        <f aca="false">IF(OR(U374=0,N374=""), "", O374*ROUND(U374,0))</f>
        <v/>
      </c>
      <c r="X374" s="101" t="str">
        <f aca="false">IF(AND(N374="", U374&lt;&gt;""),"?",IF(AND(W374&lt;&gt;0,W374&lt;&gt;""), "р.", ""))</f>
        <v/>
      </c>
      <c r="Y374" s="93" t="str">
        <f aca="false">IF(AND(S374&gt;0,U374&gt;0), S374*ROUND(U374,0) / 1000, "")</f>
        <v/>
      </c>
      <c r="Z374" s="101" t="str">
        <f aca="false">IF(AND(Y374&lt;&gt;0,Y374&lt;&gt;""), "кг", "")</f>
        <v/>
      </c>
      <c r="AA374" s="10"/>
    </row>
    <row r="375" customFormat="false" ht="14.15" hidden="false" customHeight="true" outlineLevel="0" collapsed="false">
      <c r="B375" s="173"/>
      <c r="C375" s="74" t="str">
        <f aca="false">HYPERLINK("http://www.emi-penza.ru/p/530/", "461.3787-01")</f>
        <v>461.3787-01</v>
      </c>
      <c r="D375" s="75" t="s">
        <v>514</v>
      </c>
      <c r="E375" s="75"/>
      <c r="F375" s="75"/>
      <c r="G375" s="75" t="s">
        <v>469</v>
      </c>
      <c r="H375" s="75"/>
      <c r="I375" s="76"/>
      <c r="J375" s="76"/>
      <c r="K375" s="75" t="s">
        <v>489</v>
      </c>
      <c r="L375" s="75"/>
      <c r="M375" s="76" t="s">
        <v>483</v>
      </c>
      <c r="N375" s="77" t="n">
        <v>99</v>
      </c>
      <c r="O375" s="77" t="n">
        <f aca="false">ROUND(N375*1.2, 2)</f>
        <v>118.8</v>
      </c>
      <c r="R375" s="10"/>
      <c r="S375" s="78" t="n">
        <v>31</v>
      </c>
      <c r="T375" s="78"/>
      <c r="U375" s="79" t="n">
        <v>0</v>
      </c>
      <c r="V375" s="78"/>
      <c r="W375" s="80" t="str">
        <f aca="false">IF(OR(U375=0,N375=""), "", O375*ROUND(U375,0))</f>
        <v/>
      </c>
      <c r="X375" s="100" t="str">
        <f aca="false">IF(AND(N375="", U375&lt;&gt;""),"?",IF(AND(W375&lt;&gt;0,W375&lt;&gt;""), "р.", ""))</f>
        <v/>
      </c>
      <c r="Y375" s="82" t="str">
        <f aca="false">IF(AND(S375&gt;0,U375&gt;0), S375*ROUND(U375,0) / 1000, "")</f>
        <v/>
      </c>
      <c r="Z375" s="100" t="str">
        <f aca="false">IF(AND(Y375&lt;&gt;0,Y375&lt;&gt;""), "кг", "")</f>
        <v/>
      </c>
      <c r="AA375" s="10"/>
    </row>
    <row r="376" customFormat="false" ht="15" hidden="false" customHeight="true" outlineLevel="0" collapsed="false">
      <c r="B376" s="3"/>
      <c r="C376" s="85"/>
      <c r="D376" s="86"/>
      <c r="E376" s="86"/>
      <c r="F376" s="86"/>
      <c r="G376" s="86" t="s">
        <v>509</v>
      </c>
      <c r="H376" s="86"/>
      <c r="I376" s="87"/>
      <c r="J376" s="87"/>
      <c r="K376" s="86" t="s">
        <v>515</v>
      </c>
      <c r="L376" s="86"/>
      <c r="M376" s="87"/>
      <c r="N376" s="88"/>
      <c r="O376" s="88"/>
      <c r="R376" s="10"/>
      <c r="S376" s="89"/>
      <c r="T376" s="89"/>
      <c r="U376" s="90"/>
      <c r="V376" s="89"/>
      <c r="W376" s="91" t="str">
        <f aca="false">IF(OR(U376=0,N376=""), "", O376*ROUND(U376,0))</f>
        <v/>
      </c>
      <c r="X376" s="101" t="str">
        <f aca="false">IF(AND(N376="", U376&lt;&gt;""),"?",IF(AND(W376&lt;&gt;0,W376&lt;&gt;""), "р.", ""))</f>
        <v/>
      </c>
      <c r="Y376" s="93" t="str">
        <f aca="false">IF(AND(S376&gt;0,U376&gt;0), S376*ROUND(U376,0) / 1000, "")</f>
        <v/>
      </c>
      <c r="Z376" s="101" t="str">
        <f aca="false">IF(AND(Y376&lt;&gt;0,Y376&lt;&gt;""), "кг", "")</f>
        <v/>
      </c>
      <c r="AA376" s="10"/>
    </row>
    <row r="377" customFormat="false" ht="14.15" hidden="false" customHeight="true" outlineLevel="0" collapsed="false">
      <c r="B377" s="173"/>
      <c r="C377" s="74" t="str">
        <f aca="false">HYPERLINK("http://www.emi-penza.ru/p/532/", "461.3787-02")</f>
        <v>461.3787-02</v>
      </c>
      <c r="D377" s="75" t="s">
        <v>516</v>
      </c>
      <c r="E377" s="75"/>
      <c r="F377" s="75"/>
      <c r="G377" s="75" t="s">
        <v>469</v>
      </c>
      <c r="H377" s="75"/>
      <c r="I377" s="76"/>
      <c r="J377" s="76"/>
      <c r="K377" s="75" t="s">
        <v>24</v>
      </c>
      <c r="L377" s="75"/>
      <c r="M377" s="76" t="s">
        <v>492</v>
      </c>
      <c r="N377" s="77" t="n">
        <v>109</v>
      </c>
      <c r="O377" s="77" t="n">
        <f aca="false">ROUND(N377*1.2, 2)</f>
        <v>130.8</v>
      </c>
      <c r="R377" s="10"/>
      <c r="S377" s="78" t="n">
        <v>32</v>
      </c>
      <c r="T377" s="78"/>
      <c r="U377" s="79" t="n">
        <v>0</v>
      </c>
      <c r="V377" s="78"/>
      <c r="W377" s="80" t="str">
        <f aca="false">IF(OR(U377=0,N377=""), "", O377*ROUND(U377,0))</f>
        <v/>
      </c>
      <c r="X377" s="100" t="str">
        <f aca="false">IF(AND(N377="", U377&lt;&gt;""),"?",IF(AND(W377&lt;&gt;0,W377&lt;&gt;""), "р.", ""))</f>
        <v/>
      </c>
      <c r="Y377" s="82" t="str">
        <f aca="false">IF(AND(S377&gt;0,U377&gt;0), S377*ROUND(U377,0) / 1000, "")</f>
        <v/>
      </c>
      <c r="Z377" s="100" t="str">
        <f aca="false">IF(AND(Y377&lt;&gt;0,Y377&lt;&gt;""), "кг", "")</f>
        <v/>
      </c>
      <c r="AA377" s="10"/>
    </row>
    <row r="378" customFormat="false" ht="15" hidden="false" customHeight="true" outlineLevel="0" collapsed="false">
      <c r="B378" s="3"/>
      <c r="C378" s="85"/>
      <c r="D378" s="86"/>
      <c r="E378" s="86"/>
      <c r="F378" s="86"/>
      <c r="G378" s="86" t="s">
        <v>509</v>
      </c>
      <c r="H378" s="86"/>
      <c r="I378" s="87"/>
      <c r="J378" s="87"/>
      <c r="K378" s="86"/>
      <c r="L378" s="86"/>
      <c r="M378" s="87"/>
      <c r="N378" s="88"/>
      <c r="O378" s="88"/>
      <c r="R378" s="10"/>
      <c r="S378" s="89"/>
      <c r="T378" s="89"/>
      <c r="U378" s="90"/>
      <c r="V378" s="89"/>
      <c r="W378" s="91" t="str">
        <f aca="false">IF(OR(U378=0,N378=""), "", O378*ROUND(U378,0))</f>
        <v/>
      </c>
      <c r="X378" s="101" t="str">
        <f aca="false">IF(AND(N378="", U378&lt;&gt;""),"?",IF(AND(W378&lt;&gt;0,W378&lt;&gt;""), "р.", ""))</f>
        <v/>
      </c>
      <c r="Y378" s="93" t="str">
        <f aca="false">IF(AND(S378&gt;0,U378&gt;0), S378*ROUND(U378,0) / 1000, "")</f>
        <v/>
      </c>
      <c r="Z378" s="101" t="str">
        <f aca="false">IF(AND(Y378&lt;&gt;0,Y378&lt;&gt;""), "кг", "")</f>
        <v/>
      </c>
      <c r="AA378" s="10"/>
    </row>
    <row r="379" customFormat="false" ht="14.15" hidden="false" customHeight="true" outlineLevel="0" collapsed="false">
      <c r="B379" s="173"/>
      <c r="C379" s="74" t="str">
        <f aca="false">HYPERLINK("http://www.emi-penza.ru/p/533/", "461.3787-11")</f>
        <v>461.3787-11</v>
      </c>
      <c r="D379" s="75" t="s">
        <v>517</v>
      </c>
      <c r="E379" s="75"/>
      <c r="F379" s="75"/>
      <c r="G379" s="75" t="s">
        <v>469</v>
      </c>
      <c r="H379" s="75"/>
      <c r="I379" s="76"/>
      <c r="J379" s="76"/>
      <c r="K379" s="75" t="s">
        <v>494</v>
      </c>
      <c r="L379" s="75"/>
      <c r="M379" s="76" t="s">
        <v>495</v>
      </c>
      <c r="N379" s="77" t="n">
        <v>103</v>
      </c>
      <c r="O379" s="77" t="n">
        <f aca="false">ROUND(N379*1.2, 2)</f>
        <v>123.6</v>
      </c>
      <c r="R379" s="10"/>
      <c r="S379" s="78" t="n">
        <v>33</v>
      </c>
      <c r="T379" s="78"/>
      <c r="U379" s="79" t="n">
        <v>0</v>
      </c>
      <c r="V379" s="78"/>
      <c r="W379" s="80" t="str">
        <f aca="false">IF(OR(U379=0,N379=""), "", O379*ROUND(U379,0))</f>
        <v/>
      </c>
      <c r="X379" s="100" t="str">
        <f aca="false">IF(AND(N379="", U379&lt;&gt;""),"?",IF(AND(W379&lt;&gt;0,W379&lt;&gt;""), "р.", ""))</f>
        <v/>
      </c>
      <c r="Y379" s="82" t="str">
        <f aca="false">IF(AND(S379&gt;0,U379&gt;0), S379*ROUND(U379,0) / 1000, "")</f>
        <v/>
      </c>
      <c r="Z379" s="100" t="str">
        <f aca="false">IF(AND(Y379&lt;&gt;0,Y379&lt;&gt;""), "кг", "")</f>
        <v/>
      </c>
      <c r="AA379" s="10"/>
    </row>
    <row r="380" customFormat="false" ht="15" hidden="false" customHeight="true" outlineLevel="0" collapsed="false">
      <c r="B380" s="3"/>
      <c r="C380" s="85"/>
      <c r="D380" s="86"/>
      <c r="E380" s="86"/>
      <c r="F380" s="86"/>
      <c r="G380" s="86" t="s">
        <v>509</v>
      </c>
      <c r="H380" s="86"/>
      <c r="I380" s="87"/>
      <c r="J380" s="87"/>
      <c r="K380" s="86" t="s">
        <v>518</v>
      </c>
      <c r="L380" s="86"/>
      <c r="M380" s="87"/>
      <c r="N380" s="88"/>
      <c r="O380" s="88"/>
      <c r="R380" s="10"/>
      <c r="S380" s="89"/>
      <c r="T380" s="89"/>
      <c r="U380" s="90"/>
      <c r="V380" s="89"/>
      <c r="W380" s="91" t="str">
        <f aca="false">IF(OR(U380=0,N380=""), "", O380*ROUND(U380,0))</f>
        <v/>
      </c>
      <c r="X380" s="101" t="str">
        <f aca="false">IF(AND(N380="", U380&lt;&gt;""),"?",IF(AND(W380&lt;&gt;0,W380&lt;&gt;""), "р.", ""))</f>
        <v/>
      </c>
      <c r="Y380" s="93" t="str">
        <f aca="false">IF(AND(S380&gt;0,U380&gt;0), S380*ROUND(U380,0) / 1000, "")</f>
        <v/>
      </c>
      <c r="Z380" s="101" t="str">
        <f aca="false">IF(AND(Y380&lt;&gt;0,Y380&lt;&gt;""), "кг", "")</f>
        <v/>
      </c>
      <c r="AA380" s="10"/>
    </row>
    <row r="381" customFormat="false" ht="14.15" hidden="false" customHeight="true" outlineLevel="0" collapsed="false">
      <c r="B381" s="173"/>
      <c r="C381" s="74" t="str">
        <f aca="false">HYPERLINK("http://www.emi-penza.ru/p/557/", "461.3787-111")</f>
        <v>461.3787-111</v>
      </c>
      <c r="D381" s="75" t="s">
        <v>519</v>
      </c>
      <c r="E381" s="75"/>
      <c r="F381" s="75"/>
      <c r="G381" s="75" t="s">
        <v>520</v>
      </c>
      <c r="H381" s="75"/>
      <c r="I381" s="76"/>
      <c r="J381" s="76"/>
      <c r="K381" s="75" t="s">
        <v>494</v>
      </c>
      <c r="L381" s="75"/>
      <c r="M381" s="76" t="s">
        <v>495</v>
      </c>
      <c r="N381" s="77" t="n">
        <v>105</v>
      </c>
      <c r="O381" s="77" t="n">
        <f aca="false">ROUND(N381*1.2, 2)</f>
        <v>126</v>
      </c>
      <c r="R381" s="10"/>
      <c r="S381" s="78" t="n">
        <v>35</v>
      </c>
      <c r="T381" s="78"/>
      <c r="U381" s="79" t="n">
        <v>0</v>
      </c>
      <c r="V381" s="78"/>
      <c r="W381" s="80" t="str">
        <f aca="false">IF(OR(U381=0,N381=""), "", O381*ROUND(U381,0))</f>
        <v/>
      </c>
      <c r="X381" s="100" t="str">
        <f aca="false">IF(AND(N381="", U381&lt;&gt;""),"?",IF(AND(W381&lt;&gt;0,W381&lt;&gt;""), "р.", ""))</f>
        <v/>
      </c>
      <c r="Y381" s="82" t="str">
        <f aca="false">IF(AND(S381&gt;0,U381&gt;0), S381*ROUND(U381,0) / 1000, "")</f>
        <v/>
      </c>
      <c r="Z381" s="100" t="str">
        <f aca="false">IF(AND(Y381&lt;&gt;0,Y381&lt;&gt;""), "кг", "")</f>
        <v/>
      </c>
      <c r="AA381" s="10"/>
    </row>
    <row r="382" customFormat="false" ht="15" hidden="false" customHeight="true" outlineLevel="0" collapsed="false">
      <c r="B382" s="3"/>
      <c r="C382" s="85"/>
      <c r="D382" s="86"/>
      <c r="E382" s="86"/>
      <c r="F382" s="86"/>
      <c r="G382" s="86" t="s">
        <v>521</v>
      </c>
      <c r="H382" s="86"/>
      <c r="I382" s="87"/>
      <c r="J382" s="87"/>
      <c r="K382" s="86" t="s">
        <v>518</v>
      </c>
      <c r="L382" s="86"/>
      <c r="M382" s="87"/>
      <c r="N382" s="88"/>
      <c r="O382" s="88"/>
      <c r="R382" s="10"/>
      <c r="S382" s="89"/>
      <c r="T382" s="89"/>
      <c r="U382" s="90"/>
      <c r="V382" s="89"/>
      <c r="W382" s="91" t="str">
        <f aca="false">IF(OR(U382=0,N382=""), "", O382*ROUND(U382,0))</f>
        <v/>
      </c>
      <c r="X382" s="101" t="str">
        <f aca="false">IF(AND(N382="", U382&lt;&gt;""),"?",IF(AND(W382&lt;&gt;0,W382&lt;&gt;""), "р.", ""))</f>
        <v/>
      </c>
      <c r="Y382" s="93" t="str">
        <f aca="false">IF(AND(S382&gt;0,U382&gt;0), S382*ROUND(U382,0) / 1000, "")</f>
        <v/>
      </c>
      <c r="Z382" s="101" t="str">
        <f aca="false">IF(AND(Y382&lt;&gt;0,Y382&lt;&gt;""), "кг", "")</f>
        <v/>
      </c>
      <c r="AA382" s="10"/>
    </row>
    <row r="383" customFormat="false" ht="14.15" hidden="false" customHeight="true" outlineLevel="0" collapsed="false">
      <c r="B383" s="173"/>
      <c r="C383" s="74" t="str">
        <f aca="false">HYPERLINK("http://www.emi-penza.ru/p/558/", "461.3787-131")</f>
        <v>461.3787-131</v>
      </c>
      <c r="D383" s="75" t="s">
        <v>522</v>
      </c>
      <c r="E383" s="75"/>
      <c r="F383" s="75"/>
      <c r="G383" s="75" t="s">
        <v>520</v>
      </c>
      <c r="H383" s="75"/>
      <c r="I383" s="76"/>
      <c r="J383" s="76"/>
      <c r="K383" s="75" t="s">
        <v>494</v>
      </c>
      <c r="L383" s="75"/>
      <c r="M383" s="76" t="s">
        <v>523</v>
      </c>
      <c r="N383" s="77" t="n">
        <v>106</v>
      </c>
      <c r="O383" s="77" t="n">
        <f aca="false">ROUND(N383*1.2, 2)</f>
        <v>127.2</v>
      </c>
      <c r="R383" s="10"/>
      <c r="S383" s="78" t="n">
        <v>35</v>
      </c>
      <c r="T383" s="78"/>
      <c r="U383" s="79" t="n">
        <v>0</v>
      </c>
      <c r="V383" s="78"/>
      <c r="W383" s="80" t="str">
        <f aca="false">IF(OR(U383=0,N383=""), "", O383*ROUND(U383,0))</f>
        <v/>
      </c>
      <c r="X383" s="100" t="str">
        <f aca="false">IF(AND(N383="", U383&lt;&gt;""),"?",IF(AND(W383&lt;&gt;0,W383&lt;&gt;""), "р.", ""))</f>
        <v/>
      </c>
      <c r="Y383" s="82" t="str">
        <f aca="false">IF(AND(S383&gt;0,U383&gt;0), S383*ROUND(U383,0) / 1000, "")</f>
        <v/>
      </c>
      <c r="Z383" s="100" t="str">
        <f aca="false">IF(AND(Y383&lt;&gt;0,Y383&lt;&gt;""), "кг", "")</f>
        <v/>
      </c>
      <c r="AA383" s="10"/>
    </row>
    <row r="384" customFormat="false" ht="15" hidden="false" customHeight="true" outlineLevel="0" collapsed="false">
      <c r="B384" s="3"/>
      <c r="C384" s="116"/>
      <c r="D384" s="117"/>
      <c r="E384" s="117"/>
      <c r="F384" s="117"/>
      <c r="G384" s="117" t="s">
        <v>521</v>
      </c>
      <c r="H384" s="117"/>
      <c r="I384" s="118"/>
      <c r="J384" s="118"/>
      <c r="K384" s="117" t="s">
        <v>518</v>
      </c>
      <c r="L384" s="117"/>
      <c r="M384" s="118"/>
      <c r="N384" s="120"/>
      <c r="O384" s="120"/>
      <c r="R384" s="10"/>
      <c r="S384" s="121"/>
      <c r="T384" s="121"/>
      <c r="U384" s="122"/>
      <c r="V384" s="121"/>
      <c r="W384" s="123" t="str">
        <f aca="false">IF(OR(U384=0,N384=""), "", O384*ROUND(U384,0))</f>
        <v/>
      </c>
      <c r="X384" s="124" t="str">
        <f aca="false">IF(AND(N384="", U384&lt;&gt;""),"?",IF(AND(W384&lt;&gt;0,W384&lt;&gt;""), "р.", ""))</f>
        <v/>
      </c>
      <c r="Y384" s="125" t="str">
        <f aca="false">IF(AND(S384&gt;0,U384&gt;0), S384*ROUND(U384,0) / 1000, "")</f>
        <v/>
      </c>
      <c r="Z384" s="124" t="str">
        <f aca="false">IF(AND(Y384&lt;&gt;0,Y384&lt;&gt;""), "кг", "")</f>
        <v/>
      </c>
      <c r="AA384" s="10"/>
    </row>
    <row r="385" customFormat="false" ht="15" hidden="false" customHeight="true" outlineLevel="0" collapsed="false">
      <c r="B385" s="3"/>
      <c r="C385" s="116"/>
      <c r="D385" s="117"/>
      <c r="E385" s="117"/>
      <c r="F385" s="117"/>
      <c r="G385" s="117"/>
      <c r="H385" s="117"/>
      <c r="I385" s="118"/>
      <c r="J385" s="118"/>
      <c r="K385" s="117"/>
      <c r="L385" s="117"/>
      <c r="M385" s="118"/>
      <c r="N385" s="120"/>
      <c r="O385" s="120"/>
      <c r="R385" s="10"/>
      <c r="S385" s="121"/>
      <c r="T385" s="121"/>
      <c r="U385" s="122"/>
      <c r="V385" s="121"/>
      <c r="W385" s="123"/>
      <c r="X385" s="124"/>
      <c r="Y385" s="125"/>
      <c r="Z385" s="124"/>
      <c r="AA385" s="10"/>
    </row>
    <row r="386" customFormat="false" ht="15" hidden="false" customHeight="true" outlineLevel="0" collapsed="false">
      <c r="B386" s="3"/>
      <c r="C386" s="188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модификаций. Подробности на следующей странице и на нашем сайте.")</f>
        <v>Полный список серийно выпускаемых универсальных реле насчитывает 337 модификаций. Подробности на следующей странице и на нашем сайте.</v>
      </c>
      <c r="D386" s="117"/>
      <c r="E386" s="117"/>
      <c r="F386" s="117"/>
      <c r="G386" s="117"/>
      <c r="H386" s="117"/>
      <c r="I386" s="118"/>
      <c r="J386" s="118"/>
      <c r="K386" s="117"/>
      <c r="L386" s="117"/>
      <c r="M386" s="118"/>
      <c r="N386" s="120"/>
      <c r="O386" s="120"/>
      <c r="R386" s="10"/>
      <c r="S386" s="121"/>
      <c r="T386" s="121"/>
      <c r="U386" s="122"/>
      <c r="V386" s="121"/>
      <c r="W386" s="123"/>
      <c r="X386" s="124"/>
      <c r="Y386" s="125"/>
      <c r="Z386" s="124"/>
      <c r="AA386" s="10"/>
    </row>
    <row r="387" customFormat="false" ht="15" hidden="false" customHeight="true" outlineLevel="0" collapsed="false">
      <c r="B387" s="3"/>
      <c r="C387" s="116"/>
      <c r="D387" s="117"/>
      <c r="E387" s="117"/>
      <c r="F387" s="117"/>
      <c r="G387" s="117"/>
      <c r="H387" s="117"/>
      <c r="I387" s="118"/>
      <c r="J387" s="118"/>
      <c r="K387" s="117"/>
      <c r="L387" s="117"/>
      <c r="M387" s="118"/>
      <c r="N387" s="120"/>
      <c r="O387" s="120"/>
      <c r="R387" s="10"/>
      <c r="S387" s="121"/>
      <c r="T387" s="121"/>
      <c r="U387" s="122"/>
      <c r="V387" s="121"/>
      <c r="W387" s="123"/>
      <c r="X387" s="124"/>
      <c r="Y387" s="125"/>
      <c r="Z387" s="124"/>
      <c r="AA387" s="10"/>
    </row>
    <row r="388" customFormat="false" ht="9.95" hidden="false" customHeight="true" outlineLevel="0" collapsed="false">
      <c r="I388" s="1"/>
      <c r="J388" s="1"/>
      <c r="N388" s="1"/>
      <c r="O388" s="1"/>
      <c r="R388" s="10"/>
      <c r="S388" s="121"/>
      <c r="T388" s="121"/>
      <c r="U388" s="122"/>
      <c r="V388" s="121"/>
      <c r="W388" s="123"/>
      <c r="X388" s="124"/>
      <c r="Y388" s="125"/>
      <c r="Z388" s="124"/>
      <c r="AA388" s="10"/>
    </row>
    <row r="389" customFormat="false" ht="22.7" hidden="false" customHeight="true" outlineLevel="0" collapsed="false">
      <c r="B389" s="3"/>
      <c r="C389" s="51" t="s">
        <v>524</v>
      </c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3"/>
      <c r="O389" s="53"/>
      <c r="R389" s="10"/>
      <c r="S389" s="138"/>
      <c r="T389" s="138"/>
      <c r="U389" s="139"/>
      <c r="V389" s="138"/>
      <c r="W389" s="140" t="str">
        <f aca="false">IF(OR(U389=0,N389=""), "", O389*ROUND(U389,0))</f>
        <v/>
      </c>
      <c r="X389" s="141" t="str">
        <f aca="false">IF(AND(N389="", U389&lt;&gt;""),"?",IF(AND(W389&lt;&gt;0,W389&lt;&gt;""), "р.", ""))</f>
        <v/>
      </c>
      <c r="Y389" s="142" t="str">
        <f aca="false">IF(AND(S389&gt;0,U389&gt;0), S389*ROUND(U389,0) / 1000, "")</f>
        <v/>
      </c>
      <c r="Z389" s="141" t="str">
        <f aca="false">IF(AND(Y389&lt;&gt;0,Y389&lt;&gt;""), "кг", "")</f>
        <v/>
      </c>
      <c r="AA389" s="10"/>
    </row>
    <row r="390" customFormat="false" ht="2.85" hidden="false" customHeight="true" outlineLevel="0" collapsed="false">
      <c r="B390" s="3"/>
      <c r="R390" s="10"/>
      <c r="S390" s="136"/>
      <c r="T390" s="136"/>
      <c r="U390" s="137"/>
      <c r="V390" s="136"/>
      <c r="W390" s="12" t="str">
        <f aca="false">IF(OR(U390=0,N390=""), "", O390*ROUND(U390,0))</f>
        <v/>
      </c>
      <c r="X390" s="143" t="str">
        <f aca="false">IF(AND(N390="", U390&lt;&gt;""),"?",IF(AND(W390&lt;&gt;0,W390&lt;&gt;""), "р.", ""))</f>
        <v/>
      </c>
      <c r="Y390" s="14" t="str">
        <f aca="false">IF(AND(S390&gt;0,U390&gt;0), S390*ROUND(U390,0) / 1000, "")</f>
        <v/>
      </c>
      <c r="Z390" s="143" t="str">
        <f aca="false">IF(AND(Y390&lt;&gt;0,Y390&lt;&gt;""), "кг", "")</f>
        <v/>
      </c>
      <c r="AA390" s="10"/>
    </row>
    <row r="391" customFormat="false" ht="17.85" hidden="false" customHeight="true" outlineLevel="0" collapsed="false">
      <c r="B391" s="59"/>
      <c r="C391" s="62" t="str">
        <f aca="false">HYPERLINK("http://www.emi-penza.ru/p/548/", "64.3787-011")</f>
        <v>64.3787-011</v>
      </c>
      <c r="D391" s="63" t="s">
        <v>525</v>
      </c>
      <c r="E391" s="63"/>
      <c r="F391" s="63"/>
      <c r="G391" s="63" t="s">
        <v>526</v>
      </c>
      <c r="H391" s="63"/>
      <c r="I391" s="64"/>
      <c r="J391" s="64"/>
      <c r="K391" s="63" t="s">
        <v>527</v>
      </c>
      <c r="L391" s="63"/>
      <c r="M391" s="64" t="s">
        <v>528</v>
      </c>
      <c r="N391" s="65" t="n">
        <v>64</v>
      </c>
      <c r="O391" s="65" t="n">
        <f aca="false">ROUND(N391*1.2, 2)</f>
        <v>76.8</v>
      </c>
      <c r="R391" s="10"/>
      <c r="S391" s="66" t="n">
        <v>13</v>
      </c>
      <c r="T391" s="66"/>
      <c r="U391" s="67" t="n">
        <v>0</v>
      </c>
      <c r="V391" s="66"/>
      <c r="W391" s="72" t="str">
        <f aca="false">IF(OR(U391=0,N391=""), "", O391*ROUND(U391,0))</f>
        <v/>
      </c>
      <c r="X391" s="99" t="str">
        <f aca="false">IF(AND(N391="", U391&lt;&gt;""),"?",IF(AND(W391&lt;&gt;0,W391&lt;&gt;""), "р.", ""))</f>
        <v/>
      </c>
      <c r="Y391" s="70" t="str">
        <f aca="false">IF(AND(S391&gt;0,U391&gt;0), S391*ROUND(U391,0) / 1000, "")</f>
        <v/>
      </c>
      <c r="Z391" s="99" t="str">
        <f aca="false">IF(AND(Y391&lt;&gt;0,Y391&lt;&gt;""), "кг", "")</f>
        <v/>
      </c>
      <c r="AA391" s="10"/>
    </row>
    <row r="392" customFormat="false" ht="17.85" hidden="false" customHeight="true" outlineLevel="0" collapsed="false">
      <c r="B392" s="59"/>
      <c r="C392" s="62" t="str">
        <f aca="false">HYPERLINK("http://www.emi-penza.ru/p/547/", "64.3787-111")</f>
        <v>64.3787-111</v>
      </c>
      <c r="D392" s="63" t="s">
        <v>529</v>
      </c>
      <c r="E392" s="63"/>
      <c r="F392" s="63"/>
      <c r="G392" s="63" t="s">
        <v>530</v>
      </c>
      <c r="H392" s="63"/>
      <c r="I392" s="64"/>
      <c r="J392" s="64"/>
      <c r="K392" s="63" t="s">
        <v>527</v>
      </c>
      <c r="L392" s="63"/>
      <c r="M392" s="64" t="s">
        <v>531</v>
      </c>
      <c r="N392" s="65" t="n">
        <v>61</v>
      </c>
      <c r="O392" s="65" t="n">
        <f aca="false">ROUND(N392*1.2, 2)</f>
        <v>73.2</v>
      </c>
      <c r="R392" s="10"/>
      <c r="S392" s="66" t="n">
        <v>13</v>
      </c>
      <c r="T392" s="66"/>
      <c r="U392" s="67" t="n">
        <v>0</v>
      </c>
      <c r="V392" s="66"/>
      <c r="W392" s="72" t="str">
        <f aca="false">IF(OR(U392=0,N392=""), "", O392*ROUND(U392,0))</f>
        <v/>
      </c>
      <c r="X392" s="99" t="str">
        <f aca="false">IF(AND(N392="", U392&lt;&gt;""),"?",IF(AND(W392&lt;&gt;0,W392&lt;&gt;""), "р.", ""))</f>
        <v/>
      </c>
      <c r="Y392" s="70" t="str">
        <f aca="false">IF(AND(S392&gt;0,U392&gt;0), S392*ROUND(U392,0) / 1000, "")</f>
        <v/>
      </c>
      <c r="Z392" s="99" t="str">
        <f aca="false">IF(AND(Y392&lt;&gt;0,Y392&lt;&gt;""), "кг", "")</f>
        <v/>
      </c>
      <c r="AA392" s="10"/>
    </row>
    <row r="393" customFormat="false" ht="17.85" hidden="false" customHeight="true" outlineLevel="0" collapsed="false">
      <c r="B393" s="59"/>
      <c r="C393" s="62" t="str">
        <f aca="false">HYPERLINK("http://www.emi-penza.ru/p/549/", "641.3787-01")</f>
        <v>641.3787-01</v>
      </c>
      <c r="D393" s="63" t="s">
        <v>532</v>
      </c>
      <c r="E393" s="63"/>
      <c r="F393" s="63"/>
      <c r="G393" s="63" t="s">
        <v>526</v>
      </c>
      <c r="H393" s="63"/>
      <c r="I393" s="64"/>
      <c r="J393" s="64"/>
      <c r="K393" s="63" t="s">
        <v>533</v>
      </c>
      <c r="L393" s="63"/>
      <c r="M393" s="64" t="s">
        <v>534</v>
      </c>
      <c r="N393" s="65" t="n">
        <v>64</v>
      </c>
      <c r="O393" s="65" t="n">
        <f aca="false">ROUND(N393*1.2, 2)</f>
        <v>76.8</v>
      </c>
      <c r="R393" s="10"/>
      <c r="S393" s="66" t="n">
        <v>13</v>
      </c>
      <c r="T393" s="66"/>
      <c r="U393" s="67" t="n">
        <v>0</v>
      </c>
      <c r="V393" s="66"/>
      <c r="W393" s="72" t="str">
        <f aca="false">IF(OR(U393=0,N393=""), "", O393*ROUND(U393,0))</f>
        <v/>
      </c>
      <c r="X393" s="99" t="str">
        <f aca="false">IF(AND(N393="", U393&lt;&gt;""),"?",IF(AND(W393&lt;&gt;0,W393&lt;&gt;""), "р.", ""))</f>
        <v/>
      </c>
      <c r="Y393" s="70" t="str">
        <f aca="false">IF(AND(S393&gt;0,U393&gt;0), S393*ROUND(U393,0) / 1000, "")</f>
        <v/>
      </c>
      <c r="Z393" s="99" t="str">
        <f aca="false">IF(AND(Y393&lt;&gt;0,Y393&lt;&gt;""), "кг", "")</f>
        <v/>
      </c>
      <c r="AA393" s="10"/>
    </row>
    <row r="394" customFormat="false" ht="17.85" hidden="false" customHeight="true" outlineLevel="0" collapsed="false">
      <c r="B394" s="59"/>
      <c r="C394" s="62" t="str">
        <f aca="false">HYPERLINK("http://www.emi-penza.ru/p/550/", "641.3787-11")</f>
        <v>641.3787-11</v>
      </c>
      <c r="D394" s="63" t="s">
        <v>535</v>
      </c>
      <c r="E394" s="63"/>
      <c r="F394" s="63"/>
      <c r="G394" s="63" t="s">
        <v>530</v>
      </c>
      <c r="H394" s="63"/>
      <c r="I394" s="64"/>
      <c r="J394" s="64"/>
      <c r="K394" s="63" t="s">
        <v>533</v>
      </c>
      <c r="L394" s="63"/>
      <c r="M394" s="64" t="s">
        <v>536</v>
      </c>
      <c r="N394" s="65" t="n">
        <v>62</v>
      </c>
      <c r="O394" s="65" t="n">
        <f aca="false">ROUND(N394*1.2, 2)</f>
        <v>74.4</v>
      </c>
      <c r="R394" s="10"/>
      <c r="S394" s="66" t="n">
        <v>12</v>
      </c>
      <c r="T394" s="66"/>
      <c r="U394" s="67" t="n">
        <v>0</v>
      </c>
      <c r="V394" s="66"/>
      <c r="W394" s="72" t="str">
        <f aca="false">IF(OR(U394=0,N394=""), "", O394*ROUND(U394,0))</f>
        <v/>
      </c>
      <c r="X394" s="99" t="str">
        <f aca="false">IF(AND(N394="", U394&lt;&gt;""),"?",IF(AND(W394&lt;&gt;0,W394&lt;&gt;""), "р.", ""))</f>
        <v/>
      </c>
      <c r="Y394" s="70" t="str">
        <f aca="false">IF(AND(S394&gt;0,U394&gt;0), S394*ROUND(U394,0) / 1000, "")</f>
        <v/>
      </c>
      <c r="Z394" s="99" t="str">
        <f aca="false">IF(AND(Y394&lt;&gt;0,Y394&lt;&gt;""), "кг", "")</f>
        <v/>
      </c>
      <c r="AA394" s="10"/>
    </row>
    <row r="395" customFormat="false" ht="17.85" hidden="false" customHeight="true" outlineLevel="0" collapsed="false">
      <c r="B395" s="59"/>
      <c r="C395" s="62" t="str">
        <f aca="false">HYPERLINK("http://www.emi-penza.ru/p/559/", "644.3787-10")</f>
        <v>644.3787-10</v>
      </c>
      <c r="D395" s="63" t="s">
        <v>537</v>
      </c>
      <c r="E395" s="63"/>
      <c r="F395" s="63"/>
      <c r="G395" s="63" t="s">
        <v>538</v>
      </c>
      <c r="H395" s="63"/>
      <c r="I395" s="64"/>
      <c r="J395" s="64"/>
      <c r="K395" s="63" t="s">
        <v>150</v>
      </c>
      <c r="L395" s="63"/>
      <c r="M395" s="64" t="s">
        <v>539</v>
      </c>
      <c r="N395" s="65" t="n">
        <v>61</v>
      </c>
      <c r="O395" s="65" t="n">
        <f aca="false">ROUND(N395*1.2, 2)</f>
        <v>73.2</v>
      </c>
      <c r="R395" s="10"/>
      <c r="S395" s="66" t="n">
        <v>35</v>
      </c>
      <c r="T395" s="66"/>
      <c r="U395" s="67" t="n">
        <v>0</v>
      </c>
      <c r="V395" s="66"/>
      <c r="W395" s="72" t="str">
        <f aca="false">IF(OR(U395=0,N395=""), "", O395*ROUND(U395,0))</f>
        <v/>
      </c>
      <c r="X395" s="99" t="str">
        <f aca="false">IF(AND(N395="", U395&lt;&gt;""),"?",IF(AND(W395&lt;&gt;0,W395&lt;&gt;""), "р.", ""))</f>
        <v/>
      </c>
      <c r="Y395" s="70" t="str">
        <f aca="false">IF(AND(S395&gt;0,U395&gt;0), S395*ROUND(U395,0) / 1000, "")</f>
        <v/>
      </c>
      <c r="Z395" s="99" t="str">
        <f aca="false">IF(AND(Y395&lt;&gt;0,Y395&lt;&gt;""), "кг", "")</f>
        <v/>
      </c>
      <c r="AA395" s="10"/>
    </row>
    <row r="396" customFormat="false" ht="17.85" hidden="false" customHeight="true" outlineLevel="0" collapsed="false">
      <c r="B396" s="59"/>
      <c r="C396" s="127" t="str">
        <f aca="false">HYPERLINK("http://www.emi-penza.ru/p/555/", "783.3787-002")</f>
        <v>783.3787-002</v>
      </c>
      <c r="D396" s="128" t="s">
        <v>540</v>
      </c>
      <c r="E396" s="128"/>
      <c r="F396" s="128"/>
      <c r="G396" s="128" t="s">
        <v>541</v>
      </c>
      <c r="H396" s="128"/>
      <c r="I396" s="129"/>
      <c r="J396" s="129"/>
      <c r="K396" s="128" t="s">
        <v>34</v>
      </c>
      <c r="L396" s="128"/>
      <c r="M396" s="129" t="s">
        <v>542</v>
      </c>
      <c r="N396" s="130" t="n">
        <v>131.5</v>
      </c>
      <c r="O396" s="130" t="n">
        <f aca="false">ROUND(N396*1.2, 2)</f>
        <v>157.8</v>
      </c>
      <c r="R396" s="10"/>
      <c r="S396" s="131" t="n">
        <v>30</v>
      </c>
      <c r="T396" s="131"/>
      <c r="U396" s="132" t="n">
        <v>0</v>
      </c>
      <c r="V396" s="131"/>
      <c r="W396" s="133" t="str">
        <f aca="false">IF(OR(U396=0,N396=""), "", O396*ROUND(U396,0))</f>
        <v/>
      </c>
      <c r="X396" s="134" t="str">
        <f aca="false">IF(AND(N396="", U396&lt;&gt;""),"?",IF(AND(W396&lt;&gt;0,W396&lt;&gt;""), "р.", ""))</f>
        <v/>
      </c>
      <c r="Y396" s="135" t="str">
        <f aca="false">IF(AND(S396&gt;0,U396&gt;0), S396*ROUND(U396,0) / 1000, "")</f>
        <v/>
      </c>
      <c r="Z396" s="134" t="str">
        <f aca="false">IF(AND(Y396&lt;&gt;0,Y396&lt;&gt;""), "кг", "")</f>
        <v/>
      </c>
      <c r="AA396" s="10"/>
    </row>
    <row r="397" customFormat="false" ht="5.1" hidden="false" customHeight="true" outlineLevel="0" collapsed="false">
      <c r="B397" s="3"/>
      <c r="M397" s="3"/>
      <c r="R397" s="10"/>
      <c r="S397" s="136"/>
      <c r="T397" s="136"/>
      <c r="U397" s="137"/>
      <c r="V397" s="136"/>
      <c r="W397" s="12" t="str">
        <f aca="false">IF(OR(U397=0,N397=""), "", O397*ROUND(U397,0))</f>
        <v/>
      </c>
      <c r="X397" s="189" t="str">
        <f aca="false">IF(AND(N397="", U397&lt;&gt;""),"?",IF(AND(W397&lt;&gt;0,W397&lt;&gt;""), "р.", ""))</f>
        <v/>
      </c>
      <c r="Y397" s="14" t="str">
        <f aca="false">IF(AND(S397&gt;0,U397&gt;0), S397*ROUND(U397,0) / 1000, "")</f>
        <v/>
      </c>
      <c r="Z397" s="189" t="str">
        <f aca="false">IF(AND(Y397&lt;&gt;0,Y397&lt;&gt;""), "кг", "")</f>
        <v/>
      </c>
      <c r="AA397" s="10"/>
    </row>
    <row r="398" customFormat="false" ht="17.85" hidden="false" customHeight="true" outlineLevel="0" collapsed="false">
      <c r="B398" s="59"/>
      <c r="C398" s="62" t="str">
        <f aca="false">HYPERLINK("http://www.emi-penza.ru/p/501/", "98.3777")</f>
        <v>98.3777</v>
      </c>
      <c r="D398" s="63" t="s">
        <v>543</v>
      </c>
      <c r="E398" s="63"/>
      <c r="F398" s="63"/>
      <c r="G398" s="63" t="s">
        <v>544</v>
      </c>
      <c r="H398" s="63"/>
      <c r="I398" s="64"/>
      <c r="J398" s="64"/>
      <c r="K398" s="63"/>
      <c r="L398" s="63"/>
      <c r="M398" s="64" t="s">
        <v>545</v>
      </c>
      <c r="N398" s="65" t="n">
        <v>53.85</v>
      </c>
      <c r="O398" s="65" t="n">
        <f aca="false">ROUND(N398*1.2, 2)</f>
        <v>64.62</v>
      </c>
      <c r="R398" s="10"/>
      <c r="S398" s="66" t="n">
        <v>30</v>
      </c>
      <c r="T398" s="66"/>
      <c r="U398" s="67" t="n">
        <v>0</v>
      </c>
      <c r="V398" s="66"/>
      <c r="W398" s="72" t="str">
        <f aca="false">IF(OR(U398=0,N398=""), "", O398*ROUND(U398,0))</f>
        <v/>
      </c>
      <c r="X398" s="99" t="str">
        <f aca="false">IF(AND(N398="", U398&lt;&gt;""),"?",IF(AND(W398&lt;&gt;0,W398&lt;&gt;""), "р.", ""))</f>
        <v/>
      </c>
      <c r="Y398" s="70" t="str">
        <f aca="false">IF(AND(S398&gt;0,U398&gt;0), S398*ROUND(U398,0) / 1000, "")</f>
        <v/>
      </c>
      <c r="Z398" s="99" t="str">
        <f aca="false">IF(AND(Y398&lt;&gt;0,Y398&lt;&gt;""), "кг", "")</f>
        <v/>
      </c>
      <c r="AA398" s="10"/>
    </row>
    <row r="399" customFormat="false" ht="17.85" hidden="false" customHeight="true" outlineLevel="0" collapsed="false">
      <c r="B399" s="61"/>
      <c r="C399" s="62" t="str">
        <f aca="false">HYPERLINK("http://www.emi-penza.ru/p/98.3777-002", "98.3777-002")</f>
        <v>98.3777-002</v>
      </c>
      <c r="D399" s="63"/>
      <c r="E399" s="63"/>
      <c r="F399" s="63"/>
      <c r="G399" s="63" t="s">
        <v>544</v>
      </c>
      <c r="H399" s="63"/>
      <c r="I399" s="64"/>
      <c r="J399" s="64"/>
      <c r="K399" s="63"/>
      <c r="L399" s="63"/>
      <c r="M399" s="64" t="s">
        <v>546</v>
      </c>
      <c r="N399" s="65" t="n">
        <v>75.9</v>
      </c>
      <c r="O399" s="65" t="n">
        <f aca="false">ROUND(N399*1.2, 2)</f>
        <v>91.08</v>
      </c>
      <c r="R399" s="10"/>
      <c r="S399" s="66" t="n">
        <v>34</v>
      </c>
      <c r="T399" s="66"/>
      <c r="U399" s="67" t="n">
        <v>0</v>
      </c>
      <c r="V399" s="66"/>
      <c r="W399" s="72" t="str">
        <f aca="false">IF(OR(U399=0,N399=""), "", O399*ROUND(U399,0))</f>
        <v/>
      </c>
      <c r="X399" s="99" t="str">
        <f aca="false">IF(AND(N399="", U399&lt;&gt;""),"?",IF(AND(W399&lt;&gt;0,W399&lt;&gt;""), "р.", ""))</f>
        <v/>
      </c>
      <c r="Y399" s="70" t="str">
        <f aca="false">IF(AND(S399&gt;0,U399&gt;0), S399*ROUND(U399,0) / 1000, "")</f>
        <v/>
      </c>
      <c r="Z399" s="99" t="str">
        <f aca="false">IF(AND(Y399&lt;&gt;0,Y399&lt;&gt;""), "кг", "")</f>
        <v/>
      </c>
      <c r="AA399" s="10"/>
    </row>
    <row r="400" customFormat="false" ht="17.85" hidden="false" customHeight="true" outlineLevel="0" collapsed="false">
      <c r="B400" s="61"/>
      <c r="C400" s="62" t="str">
        <f aca="false">HYPERLINK("http://www.emi-penza.ru/p/98.3777-012", "98.3777-012")</f>
        <v>98.3777-012</v>
      </c>
      <c r="D400" s="63"/>
      <c r="E400" s="63"/>
      <c r="F400" s="63"/>
      <c r="G400" s="63" t="s">
        <v>547</v>
      </c>
      <c r="H400" s="63"/>
      <c r="I400" s="64"/>
      <c r="J400" s="64"/>
      <c r="K400" s="63"/>
      <c r="L400" s="63"/>
      <c r="M400" s="64" t="s">
        <v>546</v>
      </c>
      <c r="N400" s="65" t="n">
        <v>75.7</v>
      </c>
      <c r="O400" s="65" t="n">
        <f aca="false">ROUND(N400*1.2, 2)</f>
        <v>90.84</v>
      </c>
      <c r="R400" s="10"/>
      <c r="S400" s="66" t="n">
        <v>33</v>
      </c>
      <c r="T400" s="66"/>
      <c r="U400" s="67" t="n">
        <v>0</v>
      </c>
      <c r="V400" s="66"/>
      <c r="W400" s="72" t="str">
        <f aca="false">IF(OR(U400=0,N400=""), "", O400*ROUND(U400,0))</f>
        <v/>
      </c>
      <c r="X400" s="99" t="str">
        <f aca="false">IF(AND(N400="", U400&lt;&gt;""),"?",IF(AND(W400&lt;&gt;0,W400&lt;&gt;""), "р.", ""))</f>
        <v/>
      </c>
      <c r="Y400" s="70" t="str">
        <f aca="false">IF(AND(S400&gt;0,U400&gt;0), S400*ROUND(U400,0) / 1000, "")</f>
        <v/>
      </c>
      <c r="Z400" s="99" t="str">
        <f aca="false">IF(AND(Y400&lt;&gt;0,Y400&lt;&gt;""), "кг", "")</f>
        <v/>
      </c>
      <c r="AA400" s="10"/>
    </row>
    <row r="401" customFormat="false" ht="17.85" hidden="false" customHeight="true" outlineLevel="0" collapsed="false">
      <c r="B401" s="59"/>
      <c r="C401" s="62" t="str">
        <f aca="false">HYPERLINK("http://www.emi-penza.ru/p/537/", "982.3777")</f>
        <v>982.3777</v>
      </c>
      <c r="D401" s="63" t="s">
        <v>548</v>
      </c>
      <c r="E401" s="63"/>
      <c r="F401" s="63"/>
      <c r="G401" s="63" t="s">
        <v>549</v>
      </c>
      <c r="H401" s="63"/>
      <c r="I401" s="64"/>
      <c r="J401" s="64"/>
      <c r="K401" s="63"/>
      <c r="L401" s="63"/>
      <c r="M401" s="64" t="s">
        <v>545</v>
      </c>
      <c r="N401" s="65" t="n">
        <v>54.85</v>
      </c>
      <c r="O401" s="65" t="n">
        <f aca="false">ROUND(N401*1.2, 2)</f>
        <v>65.82</v>
      </c>
      <c r="R401" s="10"/>
      <c r="S401" s="66" t="n">
        <v>30</v>
      </c>
      <c r="T401" s="66"/>
      <c r="U401" s="67" t="n">
        <v>0</v>
      </c>
      <c r="V401" s="66"/>
      <c r="W401" s="72" t="str">
        <f aca="false">IF(OR(U401=0,N401=""), "", O401*ROUND(U401,0))</f>
        <v/>
      </c>
      <c r="X401" s="99" t="str">
        <f aca="false">IF(AND(N401="", U401&lt;&gt;""),"?",IF(AND(W401&lt;&gt;0,W401&lt;&gt;""), "р.", ""))</f>
        <v/>
      </c>
      <c r="Y401" s="70" t="str">
        <f aca="false">IF(AND(S401&gt;0,U401&gt;0), S401*ROUND(U401,0) / 1000, "")</f>
        <v/>
      </c>
      <c r="Z401" s="99" t="str">
        <f aca="false">IF(AND(Y401&lt;&gt;0,Y401&lt;&gt;""), "кг", "")</f>
        <v/>
      </c>
      <c r="AA401" s="10"/>
    </row>
    <row r="402" customFormat="false" ht="17.85" hidden="false" customHeight="true" outlineLevel="0" collapsed="false">
      <c r="B402" s="59"/>
      <c r="C402" s="62" t="str">
        <f aca="false">HYPERLINK("http://www.emi-penza.ru/p/561/", "982.3777-001")</f>
        <v>982.3777-001</v>
      </c>
      <c r="D402" s="63" t="s">
        <v>550</v>
      </c>
      <c r="E402" s="63"/>
      <c r="F402" s="63"/>
      <c r="G402" s="63" t="s">
        <v>551</v>
      </c>
      <c r="H402" s="63"/>
      <c r="I402" s="64"/>
      <c r="J402" s="64"/>
      <c r="K402" s="63"/>
      <c r="L402" s="63"/>
      <c r="M402" s="64" t="s">
        <v>546</v>
      </c>
      <c r="N402" s="65" t="n">
        <v>76.5</v>
      </c>
      <c r="O402" s="65" t="n">
        <f aca="false">ROUND(N402*1.2, 2)</f>
        <v>91.8</v>
      </c>
      <c r="R402" s="10"/>
      <c r="S402" s="66" t="n">
        <v>35</v>
      </c>
      <c r="T402" s="66"/>
      <c r="U402" s="67" t="n">
        <v>0</v>
      </c>
      <c r="V402" s="66"/>
      <c r="W402" s="72" t="str">
        <f aca="false">IF(OR(U402=0,N402=""), "", O402*ROUND(U402,0))</f>
        <v/>
      </c>
      <c r="X402" s="99" t="str">
        <f aca="false">IF(AND(N402="", U402&lt;&gt;""),"?",IF(AND(W402&lt;&gt;0,W402&lt;&gt;""), "р.", ""))</f>
        <v/>
      </c>
      <c r="Y402" s="70" t="str">
        <f aca="false">IF(AND(S402&gt;0,U402&gt;0), S402*ROUND(U402,0) / 1000, "")</f>
        <v/>
      </c>
      <c r="Z402" s="99" t="str">
        <f aca="false">IF(AND(Y402&lt;&gt;0,Y402&lt;&gt;""), "кг", "")</f>
        <v/>
      </c>
      <c r="AA402" s="10"/>
    </row>
    <row r="403" customFormat="false" ht="17.85" hidden="false" customHeight="true" outlineLevel="0" collapsed="false">
      <c r="B403" s="59"/>
      <c r="C403" s="62" t="str">
        <f aca="false">HYPERLINK("http://www.emi-penza.ru/p/502/", "98.3777-01")</f>
        <v>98.3777-01</v>
      </c>
      <c r="D403" s="63" t="s">
        <v>552</v>
      </c>
      <c r="E403" s="63"/>
      <c r="F403" s="63"/>
      <c r="G403" s="63" t="s">
        <v>553</v>
      </c>
      <c r="H403" s="63"/>
      <c r="I403" s="64"/>
      <c r="J403" s="64"/>
      <c r="K403" s="63"/>
      <c r="L403" s="63"/>
      <c r="M403" s="64" t="s">
        <v>545</v>
      </c>
      <c r="N403" s="65" t="n">
        <v>53.75</v>
      </c>
      <c r="O403" s="65" t="n">
        <f aca="false">ROUND(N403*1.2, 2)</f>
        <v>64.5</v>
      </c>
      <c r="R403" s="10"/>
      <c r="S403" s="66" t="n">
        <v>30</v>
      </c>
      <c r="T403" s="66"/>
      <c r="U403" s="67" t="n">
        <v>0</v>
      </c>
      <c r="V403" s="66"/>
      <c r="W403" s="72" t="str">
        <f aca="false">IF(OR(U403=0,N403=""), "", O403*ROUND(U403,0))</f>
        <v/>
      </c>
      <c r="X403" s="99" t="str">
        <f aca="false">IF(AND(N403="", U403&lt;&gt;""),"?",IF(AND(W403&lt;&gt;0,W403&lt;&gt;""), "р.", ""))</f>
        <v/>
      </c>
      <c r="Y403" s="70" t="str">
        <f aca="false">IF(AND(S403&gt;0,U403&gt;0), S403*ROUND(U403,0) / 1000, "")</f>
        <v/>
      </c>
      <c r="Z403" s="99" t="str">
        <f aca="false">IF(AND(Y403&lt;&gt;0,Y403&lt;&gt;""), "кг", "")</f>
        <v/>
      </c>
      <c r="AA403" s="10"/>
    </row>
    <row r="404" customFormat="false" ht="17.85" hidden="false" customHeight="true" outlineLevel="0" collapsed="false">
      <c r="B404" s="59"/>
      <c r="C404" s="62" t="str">
        <f aca="false">HYPERLINK("http://www.emi-penza.ru/p/538/", "982.3777-01")</f>
        <v>982.3777-01</v>
      </c>
      <c r="D404" s="63" t="s">
        <v>554</v>
      </c>
      <c r="E404" s="63"/>
      <c r="F404" s="63"/>
      <c r="G404" s="63" t="s">
        <v>555</v>
      </c>
      <c r="H404" s="63"/>
      <c r="I404" s="64"/>
      <c r="J404" s="64"/>
      <c r="K404" s="63"/>
      <c r="L404" s="63"/>
      <c r="M404" s="64" t="s">
        <v>545</v>
      </c>
      <c r="N404" s="65" t="n">
        <v>54.75</v>
      </c>
      <c r="O404" s="65" t="n">
        <f aca="false">ROUND(N404*1.2, 2)</f>
        <v>65.7</v>
      </c>
      <c r="R404" s="10"/>
      <c r="S404" s="66" t="n">
        <v>30</v>
      </c>
      <c r="T404" s="66"/>
      <c r="U404" s="67" t="n">
        <v>0</v>
      </c>
      <c r="V404" s="66"/>
      <c r="W404" s="72" t="str">
        <f aca="false">IF(OR(U404=0,N404=""), "", O404*ROUND(U404,0))</f>
        <v/>
      </c>
      <c r="X404" s="99" t="str">
        <f aca="false">IF(AND(N404="", U404&lt;&gt;""),"?",IF(AND(W404&lt;&gt;0,W404&lt;&gt;""), "р.", ""))</f>
        <v/>
      </c>
      <c r="Y404" s="70" t="str">
        <f aca="false">IF(AND(S404&gt;0,U404&gt;0), S404*ROUND(U404,0) / 1000, "")</f>
        <v/>
      </c>
      <c r="Z404" s="99" t="str">
        <f aca="false">IF(AND(Y404&lt;&gt;0,Y404&lt;&gt;""), "кг", "")</f>
        <v/>
      </c>
      <c r="AA404" s="10"/>
    </row>
    <row r="405" customFormat="false" ht="17.85" hidden="false" customHeight="true" outlineLevel="0" collapsed="false">
      <c r="B405" s="59"/>
      <c r="C405" s="62" t="str">
        <f aca="false">HYPERLINK("http://www.emi-penza.ru/p/513/", "984.3777")</f>
        <v>984.3777</v>
      </c>
      <c r="D405" s="63" t="s">
        <v>556</v>
      </c>
      <c r="E405" s="63"/>
      <c r="F405" s="63"/>
      <c r="G405" s="63" t="s">
        <v>547</v>
      </c>
      <c r="H405" s="63"/>
      <c r="I405" s="64"/>
      <c r="J405" s="64"/>
      <c r="K405" s="63"/>
      <c r="L405" s="63"/>
      <c r="M405" s="64" t="s">
        <v>557</v>
      </c>
      <c r="N405" s="65" t="n">
        <v>53.75</v>
      </c>
      <c r="O405" s="65" t="n">
        <f aca="false">ROUND(N405*1.2, 2)</f>
        <v>64.5</v>
      </c>
      <c r="R405" s="10"/>
      <c r="S405" s="66" t="n">
        <v>30</v>
      </c>
      <c r="T405" s="66"/>
      <c r="U405" s="67" t="n">
        <v>0</v>
      </c>
      <c r="V405" s="66"/>
      <c r="W405" s="72" t="str">
        <f aca="false">IF(OR(U405=0,N405=""), "", O405*ROUND(U405,0))</f>
        <v/>
      </c>
      <c r="X405" s="99" t="str">
        <f aca="false">IF(AND(N405="", U405&lt;&gt;""),"?",IF(AND(W405&lt;&gt;0,W405&lt;&gt;""), "р.", ""))</f>
        <v/>
      </c>
      <c r="Y405" s="70" t="str">
        <f aca="false">IF(AND(S405&gt;0,U405&gt;0), S405*ROUND(U405,0) / 1000, "")</f>
        <v/>
      </c>
      <c r="Z405" s="99" t="str">
        <f aca="false">IF(AND(Y405&lt;&gt;0,Y405&lt;&gt;""), "кг", "")</f>
        <v/>
      </c>
      <c r="AA405" s="10"/>
    </row>
    <row r="406" customFormat="false" ht="17.85" hidden="false" customHeight="true" outlineLevel="0" collapsed="false">
      <c r="B406" s="59"/>
      <c r="C406" s="127" t="str">
        <f aca="false">HYPERLINK("http://www.emi-penza.ru/p/539/", "986.3777")</f>
        <v>986.3777</v>
      </c>
      <c r="D406" s="128" t="s">
        <v>558</v>
      </c>
      <c r="E406" s="128"/>
      <c r="F406" s="128"/>
      <c r="G406" s="128" t="s">
        <v>559</v>
      </c>
      <c r="H406" s="128"/>
      <c r="I406" s="129"/>
      <c r="J406" s="129"/>
      <c r="K406" s="128"/>
      <c r="L406" s="128"/>
      <c r="M406" s="129" t="s">
        <v>557</v>
      </c>
      <c r="N406" s="130" t="n">
        <v>54.75</v>
      </c>
      <c r="O406" s="130" t="n">
        <f aca="false">ROUND(N406*1.2, 2)</f>
        <v>65.7</v>
      </c>
      <c r="R406" s="10"/>
      <c r="S406" s="131" t="n">
        <v>30</v>
      </c>
      <c r="T406" s="131"/>
      <c r="U406" s="132" t="n">
        <v>0</v>
      </c>
      <c r="V406" s="131"/>
      <c r="W406" s="133" t="str">
        <f aca="false">IF(OR(U406=0,N406=""), "", O406*ROUND(U406,0))</f>
        <v/>
      </c>
      <c r="X406" s="134" t="str">
        <f aca="false">IF(AND(N406="", U406&lt;&gt;""),"?",IF(AND(W406&lt;&gt;0,W406&lt;&gt;""), "р.", ""))</f>
        <v/>
      </c>
      <c r="Y406" s="135" t="str">
        <f aca="false">IF(AND(S406&gt;0,U406&gt;0), S406*ROUND(U406,0) / 1000, "")</f>
        <v/>
      </c>
      <c r="Z406" s="134" t="str">
        <f aca="false">IF(AND(Y406&lt;&gt;0,Y406&lt;&gt;""), "кг", "")</f>
        <v/>
      </c>
      <c r="AA406" s="10"/>
    </row>
    <row r="407" customFormat="false" ht="5.1" hidden="false" customHeight="true" outlineLevel="0" collapsed="false">
      <c r="B407" s="3"/>
      <c r="M407" s="3"/>
      <c r="R407" s="10"/>
      <c r="S407" s="136"/>
      <c r="T407" s="136"/>
      <c r="U407" s="137"/>
      <c r="V407" s="136"/>
      <c r="W407" s="12" t="str">
        <f aca="false">IF(OR(U407=0,N407=""), "", O407*ROUND(U407,0))</f>
        <v/>
      </c>
      <c r="X407" s="189" t="str">
        <f aca="false">IF(AND(N407="", U407&lt;&gt;""),"?",IF(AND(W407&lt;&gt;0,W407&lt;&gt;""), "р.", ""))</f>
        <v/>
      </c>
      <c r="Y407" s="14" t="str">
        <f aca="false">IF(AND(S407&gt;0,U407&gt;0), S407*ROUND(U407,0) / 1000, "")</f>
        <v/>
      </c>
      <c r="Z407" s="189" t="str">
        <f aca="false">IF(AND(Y407&lt;&gt;0,Y407&lt;&gt;""), "кг", "")</f>
        <v/>
      </c>
      <c r="AA407" s="10"/>
    </row>
    <row r="408" customFormat="false" ht="17.85" hidden="false" customHeight="true" outlineLevel="0" collapsed="false">
      <c r="B408" s="59"/>
      <c r="C408" s="62" t="str">
        <f aca="false">HYPERLINK("http://www.emi-penza.ru/p/503/", "98.3777-10")</f>
        <v>98.3777-10</v>
      </c>
      <c r="D408" s="63" t="s">
        <v>560</v>
      </c>
      <c r="E408" s="63"/>
      <c r="F408" s="63"/>
      <c r="G408" s="63" t="s">
        <v>561</v>
      </c>
      <c r="H408" s="63"/>
      <c r="I408" s="64"/>
      <c r="J408" s="64"/>
      <c r="K408" s="63"/>
      <c r="L408" s="63"/>
      <c r="M408" s="64" t="s">
        <v>562</v>
      </c>
      <c r="N408" s="65" t="n">
        <v>52.6</v>
      </c>
      <c r="O408" s="65" t="n">
        <f aca="false">ROUND(N408*1.2, 2)</f>
        <v>63.12</v>
      </c>
      <c r="R408" s="10"/>
      <c r="S408" s="66" t="n">
        <v>30</v>
      </c>
      <c r="T408" s="66"/>
      <c r="U408" s="67" t="n">
        <v>0</v>
      </c>
      <c r="V408" s="66"/>
      <c r="W408" s="72" t="str">
        <f aca="false">IF(OR(U408=0,N408=""), "", O408*ROUND(U408,0))</f>
        <v/>
      </c>
      <c r="X408" s="99" t="str">
        <f aca="false">IF(AND(N408="", U408&lt;&gt;""),"?",IF(AND(W408&lt;&gt;0,W408&lt;&gt;""), "р.", ""))</f>
        <v/>
      </c>
      <c r="Y408" s="70" t="str">
        <f aca="false">IF(AND(S408&gt;0,U408&gt;0), S408*ROUND(U408,0) / 1000, "")</f>
        <v/>
      </c>
      <c r="Z408" s="99" t="str">
        <f aca="false">IF(AND(Y408&lt;&gt;0,Y408&lt;&gt;""), "кг", "")</f>
        <v/>
      </c>
      <c r="AA408" s="10"/>
    </row>
    <row r="409" customFormat="false" ht="17.85" hidden="false" customHeight="true" outlineLevel="0" collapsed="false">
      <c r="B409" s="61"/>
      <c r="C409" s="62" t="str">
        <f aca="false">HYPERLINK("http://www.emi-penza.ru/p/98.3777-102", "98.3777-102")</f>
        <v>98.3777-102</v>
      </c>
      <c r="D409" s="63"/>
      <c r="E409" s="63"/>
      <c r="F409" s="63"/>
      <c r="G409" s="63" t="s">
        <v>561</v>
      </c>
      <c r="H409" s="63"/>
      <c r="I409" s="64"/>
      <c r="J409" s="64"/>
      <c r="K409" s="63"/>
      <c r="L409" s="63"/>
      <c r="M409" s="64" t="s">
        <v>546</v>
      </c>
      <c r="N409" s="65" t="n">
        <v>72.9</v>
      </c>
      <c r="O409" s="65" t="n">
        <f aca="false">ROUND(N409*1.2, 2)</f>
        <v>87.48</v>
      </c>
      <c r="R409" s="10"/>
      <c r="S409" s="66" t="n">
        <v>34</v>
      </c>
      <c r="T409" s="66"/>
      <c r="U409" s="67" t="n">
        <v>0</v>
      </c>
      <c r="V409" s="66"/>
      <c r="W409" s="72" t="str">
        <f aca="false">IF(OR(U409=0,N409=""), "", O409*ROUND(U409,0))</f>
        <v/>
      </c>
      <c r="X409" s="99" t="str">
        <f aca="false">IF(AND(N409="", U409&lt;&gt;""),"?",IF(AND(W409&lt;&gt;0,W409&lt;&gt;""), "р.", ""))</f>
        <v/>
      </c>
      <c r="Y409" s="70" t="str">
        <f aca="false">IF(AND(S409&gt;0,U409&gt;0), S409*ROUND(U409,0) / 1000, "")</f>
        <v/>
      </c>
      <c r="Z409" s="99" t="str">
        <f aca="false">IF(AND(Y409&lt;&gt;0,Y409&lt;&gt;""), "кг", "")</f>
        <v/>
      </c>
      <c r="AA409" s="10"/>
    </row>
    <row r="410" customFormat="false" ht="17.85" hidden="false" customHeight="true" outlineLevel="0" collapsed="false">
      <c r="B410" s="61"/>
      <c r="C410" s="62" t="str">
        <f aca="false">HYPERLINK("http://www.emi-penza.ru/p/98.3777-112", "98.3777-112")</f>
        <v>98.3777-112</v>
      </c>
      <c r="D410" s="63"/>
      <c r="E410" s="63"/>
      <c r="F410" s="63"/>
      <c r="G410" s="63" t="s">
        <v>563</v>
      </c>
      <c r="H410" s="63"/>
      <c r="I410" s="64"/>
      <c r="J410" s="64"/>
      <c r="K410" s="63"/>
      <c r="L410" s="63"/>
      <c r="M410" s="64" t="s">
        <v>546</v>
      </c>
      <c r="N410" s="65" t="n">
        <v>72.7</v>
      </c>
      <c r="O410" s="65" t="n">
        <f aca="false">ROUND(N410*1.2, 2)</f>
        <v>87.24</v>
      </c>
      <c r="R410" s="10"/>
      <c r="S410" s="66" t="n">
        <v>33</v>
      </c>
      <c r="T410" s="66"/>
      <c r="U410" s="67" t="n">
        <v>0</v>
      </c>
      <c r="V410" s="66"/>
      <c r="W410" s="72" t="str">
        <f aca="false">IF(OR(U410=0,N410=""), "", O410*ROUND(U410,0))</f>
        <v/>
      </c>
      <c r="X410" s="99" t="str">
        <f aca="false">IF(AND(N410="", U410&lt;&gt;""),"?",IF(AND(W410&lt;&gt;0,W410&lt;&gt;""), "р.", ""))</f>
        <v/>
      </c>
      <c r="Y410" s="70" t="str">
        <f aca="false">IF(AND(S410&gt;0,U410&gt;0), S410*ROUND(U410,0) / 1000, "")</f>
        <v/>
      </c>
      <c r="Z410" s="99" t="str">
        <f aca="false">IF(AND(Y410&lt;&gt;0,Y410&lt;&gt;""), "кг", "")</f>
        <v/>
      </c>
      <c r="AA410" s="10"/>
    </row>
    <row r="411" customFormat="false" ht="17.85" hidden="false" customHeight="true" outlineLevel="0" collapsed="false">
      <c r="B411" s="59"/>
      <c r="C411" s="62" t="str">
        <f aca="false">HYPERLINK("http://www.emi-penza.ru/p/524/", "982.3777-10")</f>
        <v>982.3777-10</v>
      </c>
      <c r="D411" s="63" t="s">
        <v>564</v>
      </c>
      <c r="E411" s="63"/>
      <c r="F411" s="63"/>
      <c r="G411" s="63" t="s">
        <v>565</v>
      </c>
      <c r="H411" s="63"/>
      <c r="I411" s="64"/>
      <c r="J411" s="64"/>
      <c r="K411" s="63"/>
      <c r="L411" s="63"/>
      <c r="M411" s="64" t="s">
        <v>562</v>
      </c>
      <c r="N411" s="65" t="n">
        <v>53.4</v>
      </c>
      <c r="O411" s="65" t="n">
        <f aca="false">ROUND(N411*1.2, 2)</f>
        <v>64.08</v>
      </c>
      <c r="R411" s="10"/>
      <c r="S411" s="66" t="n">
        <v>30</v>
      </c>
      <c r="T411" s="66"/>
      <c r="U411" s="67" t="n">
        <v>0</v>
      </c>
      <c r="V411" s="66"/>
      <c r="W411" s="72" t="str">
        <f aca="false">IF(OR(U411=0,N411=""), "", O411*ROUND(U411,0))</f>
        <v/>
      </c>
      <c r="X411" s="99" t="str">
        <f aca="false">IF(AND(N411="", U411&lt;&gt;""),"?",IF(AND(W411&lt;&gt;0,W411&lt;&gt;""), "р.", ""))</f>
        <v/>
      </c>
      <c r="Y411" s="70" t="str">
        <f aca="false">IF(AND(S411&gt;0,U411&gt;0), S411*ROUND(U411,0) / 1000, "")</f>
        <v/>
      </c>
      <c r="Z411" s="99" t="str">
        <f aca="false">IF(AND(Y411&lt;&gt;0,Y411&lt;&gt;""), "кг", "")</f>
        <v/>
      </c>
      <c r="AA411" s="10"/>
    </row>
    <row r="412" customFormat="false" ht="17.85" hidden="false" customHeight="true" outlineLevel="0" collapsed="false">
      <c r="B412" s="59"/>
      <c r="C412" s="62" t="str">
        <f aca="false">HYPERLINK("http://www.emi-penza.ru/p/504/", "98.3777-11")</f>
        <v>98.3777-11</v>
      </c>
      <c r="D412" s="63" t="s">
        <v>566</v>
      </c>
      <c r="E412" s="63"/>
      <c r="F412" s="63"/>
      <c r="G412" s="63" t="s">
        <v>567</v>
      </c>
      <c r="H412" s="63"/>
      <c r="I412" s="64"/>
      <c r="J412" s="64"/>
      <c r="K412" s="63"/>
      <c r="L412" s="63"/>
      <c r="M412" s="64" t="s">
        <v>562</v>
      </c>
      <c r="N412" s="65" t="n">
        <v>52.6</v>
      </c>
      <c r="O412" s="65" t="n">
        <f aca="false">ROUND(N412*1.2, 2)</f>
        <v>63.12</v>
      </c>
      <c r="R412" s="10"/>
      <c r="S412" s="66" t="n">
        <v>30</v>
      </c>
      <c r="T412" s="66"/>
      <c r="U412" s="67" t="n">
        <v>0</v>
      </c>
      <c r="V412" s="66"/>
      <c r="W412" s="72" t="str">
        <f aca="false">IF(OR(U412=0,N412=""), "", O412*ROUND(U412,0))</f>
        <v/>
      </c>
      <c r="X412" s="99" t="str">
        <f aca="false">IF(AND(N412="", U412&lt;&gt;""),"?",IF(AND(W412&lt;&gt;0,W412&lt;&gt;""), "р.", ""))</f>
        <v/>
      </c>
      <c r="Y412" s="70" t="str">
        <f aca="false">IF(AND(S412&gt;0,U412&gt;0), S412*ROUND(U412,0) / 1000, "")</f>
        <v/>
      </c>
      <c r="Z412" s="99" t="str">
        <f aca="false">IF(AND(Y412&lt;&gt;0,Y412&lt;&gt;""), "кг", "")</f>
        <v/>
      </c>
      <c r="AA412" s="10"/>
    </row>
    <row r="413" customFormat="false" ht="17.85" hidden="false" customHeight="true" outlineLevel="0" collapsed="false">
      <c r="B413" s="59"/>
      <c r="C413" s="62" t="str">
        <f aca="false">HYPERLINK("http://www.emi-penza.ru/p/525/", "982.3777-11")</f>
        <v>982.3777-11</v>
      </c>
      <c r="D413" s="63" t="s">
        <v>568</v>
      </c>
      <c r="E413" s="63"/>
      <c r="F413" s="63"/>
      <c r="G413" s="63" t="s">
        <v>569</v>
      </c>
      <c r="H413" s="63"/>
      <c r="I413" s="64"/>
      <c r="J413" s="64"/>
      <c r="K413" s="63"/>
      <c r="L413" s="63"/>
      <c r="M413" s="64" t="s">
        <v>562</v>
      </c>
      <c r="N413" s="65" t="n">
        <v>53.6</v>
      </c>
      <c r="O413" s="65" t="n">
        <f aca="false">ROUND(N413*1.2, 2)</f>
        <v>64.32</v>
      </c>
      <c r="R413" s="10"/>
      <c r="S413" s="66" t="n">
        <v>30</v>
      </c>
      <c r="T413" s="66"/>
      <c r="U413" s="67" t="n">
        <v>0</v>
      </c>
      <c r="V413" s="66"/>
      <c r="W413" s="72" t="str">
        <f aca="false">IF(OR(U413=0,N413=""), "", O413*ROUND(U413,0))</f>
        <v/>
      </c>
      <c r="X413" s="99" t="str">
        <f aca="false">IF(AND(N413="", U413&lt;&gt;""),"?",IF(AND(W413&lt;&gt;0,W413&lt;&gt;""), "р.", ""))</f>
        <v/>
      </c>
      <c r="Y413" s="70" t="str">
        <f aca="false">IF(AND(S413&gt;0,U413&gt;0), S413*ROUND(U413,0) / 1000, "")</f>
        <v/>
      </c>
      <c r="Z413" s="99" t="str">
        <f aca="false">IF(AND(Y413&lt;&gt;0,Y413&lt;&gt;""), "кг", "")</f>
        <v/>
      </c>
      <c r="AA413" s="10"/>
    </row>
    <row r="414" customFormat="false" ht="17.85" hidden="false" customHeight="true" outlineLevel="0" collapsed="false">
      <c r="B414" s="59"/>
      <c r="C414" s="62" t="str">
        <f aca="false">HYPERLINK("http://www.emi-penza.ru/p/514/", "984.3777-10")</f>
        <v>984.3777-10</v>
      </c>
      <c r="D414" s="63" t="s">
        <v>570</v>
      </c>
      <c r="E414" s="63"/>
      <c r="F414" s="63"/>
      <c r="G414" s="63" t="s">
        <v>563</v>
      </c>
      <c r="H414" s="63"/>
      <c r="I414" s="64"/>
      <c r="J414" s="64"/>
      <c r="K414" s="63"/>
      <c r="L414" s="63"/>
      <c r="M414" s="64" t="s">
        <v>562</v>
      </c>
      <c r="N414" s="65" t="n">
        <v>52.6</v>
      </c>
      <c r="O414" s="65" t="n">
        <f aca="false">ROUND(N414*1.2, 2)</f>
        <v>63.12</v>
      </c>
      <c r="R414" s="10"/>
      <c r="S414" s="66" t="n">
        <v>30</v>
      </c>
      <c r="T414" s="66"/>
      <c r="U414" s="67" t="n">
        <v>0</v>
      </c>
      <c r="V414" s="66"/>
      <c r="W414" s="72" t="str">
        <f aca="false">IF(OR(U414=0,N414=""), "", O414*ROUND(U414,0))</f>
        <v/>
      </c>
      <c r="X414" s="99" t="str">
        <f aca="false">IF(AND(N414="", U414&lt;&gt;""),"?",IF(AND(W414&lt;&gt;0,W414&lt;&gt;""), "р.", ""))</f>
        <v/>
      </c>
      <c r="Y414" s="70" t="str">
        <f aca="false">IF(AND(S414&gt;0,U414&gt;0), S414*ROUND(U414,0) / 1000, "")</f>
        <v/>
      </c>
      <c r="Z414" s="99" t="str">
        <f aca="false">IF(AND(Y414&lt;&gt;0,Y414&lt;&gt;""), "кг", "")</f>
        <v/>
      </c>
      <c r="AA414" s="10"/>
    </row>
    <row r="415" customFormat="false" ht="17.85" hidden="false" customHeight="true" outlineLevel="0" collapsed="false">
      <c r="B415" s="59"/>
      <c r="C415" s="127" t="str">
        <f aca="false">HYPERLINK("http://www.emi-penza.ru/p/540/", "986.3777-10")</f>
        <v>986.3777-10</v>
      </c>
      <c r="D415" s="128" t="s">
        <v>571</v>
      </c>
      <c r="E415" s="128"/>
      <c r="F415" s="128"/>
      <c r="G415" s="128" t="s">
        <v>572</v>
      </c>
      <c r="H415" s="128"/>
      <c r="I415" s="129"/>
      <c r="J415" s="129"/>
      <c r="K415" s="128"/>
      <c r="L415" s="128"/>
      <c r="M415" s="129" t="s">
        <v>562</v>
      </c>
      <c r="N415" s="130" t="n">
        <v>53.4</v>
      </c>
      <c r="O415" s="130" t="n">
        <f aca="false">ROUND(N415*1.2, 2)</f>
        <v>64.08</v>
      </c>
      <c r="R415" s="10"/>
      <c r="S415" s="131" t="n">
        <v>30</v>
      </c>
      <c r="T415" s="131"/>
      <c r="U415" s="132" t="n">
        <v>0</v>
      </c>
      <c r="V415" s="131"/>
      <c r="W415" s="133" t="str">
        <f aca="false">IF(OR(U415=0,N415=""), "", O415*ROUND(U415,0))</f>
        <v/>
      </c>
      <c r="X415" s="134" t="str">
        <f aca="false">IF(AND(N415="", U415&lt;&gt;""),"?",IF(AND(W415&lt;&gt;0,W415&lt;&gt;""), "р.", ""))</f>
        <v/>
      </c>
      <c r="Y415" s="135" t="str">
        <f aca="false">IF(AND(S415&gt;0,U415&gt;0), S415*ROUND(U415,0) / 1000, "")</f>
        <v/>
      </c>
      <c r="Z415" s="134" t="str">
        <f aca="false">IF(AND(Y415&lt;&gt;0,Y415&lt;&gt;""), "кг", "")</f>
        <v/>
      </c>
      <c r="AA415" s="10"/>
    </row>
    <row r="416" customFormat="false" ht="5.1" hidden="false" customHeight="true" outlineLevel="0" collapsed="false">
      <c r="B416" s="3"/>
      <c r="M416" s="3"/>
      <c r="R416" s="10"/>
      <c r="S416" s="136"/>
      <c r="T416" s="136"/>
      <c r="U416" s="137"/>
      <c r="V416" s="136"/>
      <c r="W416" s="12" t="str">
        <f aca="false">IF(OR(U416=0,N416=""), "", O416*ROUND(U416,0))</f>
        <v/>
      </c>
      <c r="X416" s="189" t="str">
        <f aca="false">IF(AND(N416="", U416&lt;&gt;""),"?",IF(AND(W416&lt;&gt;0,W416&lt;&gt;""), "р.", ""))</f>
        <v/>
      </c>
      <c r="Y416" s="14" t="str">
        <f aca="false">IF(AND(S416&gt;0,U416&gt;0), S416*ROUND(U416,0) / 1000, "")</f>
        <v/>
      </c>
      <c r="Z416" s="189" t="str">
        <f aca="false">IF(AND(Y416&lt;&gt;0,Y416&lt;&gt;""), "кг", "")</f>
        <v/>
      </c>
      <c r="AA416" s="10"/>
    </row>
    <row r="417" customFormat="false" ht="17.85" hidden="false" customHeight="true" outlineLevel="0" collapsed="false">
      <c r="B417" s="59"/>
      <c r="C417" s="62" t="str">
        <f aca="false">HYPERLINK("http://www.emi-penza.ru/p/507/", "981.3777")</f>
        <v>981.3777</v>
      </c>
      <c r="D417" s="63" t="s">
        <v>573</v>
      </c>
      <c r="E417" s="63"/>
      <c r="F417" s="63"/>
      <c r="G417" s="63" t="s">
        <v>551</v>
      </c>
      <c r="H417" s="63"/>
      <c r="I417" s="64"/>
      <c r="J417" s="64"/>
      <c r="K417" s="63"/>
      <c r="L417" s="63"/>
      <c r="M417" s="64" t="s">
        <v>574</v>
      </c>
      <c r="N417" s="65" t="n">
        <v>56.15</v>
      </c>
      <c r="O417" s="65" t="n">
        <f aca="false">ROUND(N417*1.2, 2)</f>
        <v>67.38</v>
      </c>
      <c r="R417" s="10"/>
      <c r="S417" s="66" t="n">
        <v>30</v>
      </c>
      <c r="T417" s="66"/>
      <c r="U417" s="67" t="n">
        <v>0</v>
      </c>
      <c r="V417" s="66"/>
      <c r="W417" s="72" t="str">
        <f aca="false">IF(OR(U417=0,N417=""), "", O417*ROUND(U417,0))</f>
        <v/>
      </c>
      <c r="X417" s="99" t="str">
        <f aca="false">IF(AND(N417="", U417&lt;&gt;""),"?",IF(AND(W417&lt;&gt;0,W417&lt;&gt;""), "р.", ""))</f>
        <v/>
      </c>
      <c r="Y417" s="70" t="str">
        <f aca="false">IF(AND(S417&gt;0,U417&gt;0), S417*ROUND(U417,0) / 1000, "")</f>
        <v/>
      </c>
      <c r="Z417" s="99" t="str">
        <f aca="false">IF(AND(Y417&lt;&gt;0,Y417&lt;&gt;""), "кг", "")</f>
        <v/>
      </c>
      <c r="AA417" s="10"/>
    </row>
    <row r="418" customFormat="false" ht="17.85" hidden="false" customHeight="true" outlineLevel="0" collapsed="false">
      <c r="B418" s="59"/>
      <c r="C418" s="62" t="str">
        <f aca="false">HYPERLINK("http://www.emi-penza.ru/p/560/", "981.3777-001")</f>
        <v>981.3777-001</v>
      </c>
      <c r="D418" s="63" t="s">
        <v>575</v>
      </c>
      <c r="E418" s="63"/>
      <c r="F418" s="63"/>
      <c r="G418" s="63" t="s">
        <v>551</v>
      </c>
      <c r="H418" s="63"/>
      <c r="I418" s="64"/>
      <c r="J418" s="64"/>
      <c r="K418" s="63"/>
      <c r="L418" s="63"/>
      <c r="M418" s="64" t="s">
        <v>576</v>
      </c>
      <c r="N418" s="65" t="n">
        <v>76.4</v>
      </c>
      <c r="O418" s="65" t="n">
        <f aca="false">ROUND(N418*1.2, 2)</f>
        <v>91.68</v>
      </c>
      <c r="R418" s="10"/>
      <c r="S418" s="66" t="n">
        <v>35</v>
      </c>
      <c r="T418" s="66"/>
      <c r="U418" s="67" t="n">
        <v>0</v>
      </c>
      <c r="V418" s="66"/>
      <c r="W418" s="72" t="str">
        <f aca="false">IF(OR(U418=0,N418=""), "", O418*ROUND(U418,0))</f>
        <v/>
      </c>
      <c r="X418" s="99" t="str">
        <f aca="false">IF(AND(N418="", U418&lt;&gt;""),"?",IF(AND(W418&lt;&gt;0,W418&lt;&gt;""), "р.", ""))</f>
        <v/>
      </c>
      <c r="Y418" s="70" t="str">
        <f aca="false">IF(AND(S418&gt;0,U418&gt;0), S418*ROUND(U418,0) / 1000, "")</f>
        <v/>
      </c>
      <c r="Z418" s="99" t="str">
        <f aca="false">IF(AND(Y418&lt;&gt;0,Y418&lt;&gt;""), "кг", "")</f>
        <v/>
      </c>
      <c r="AA418" s="10"/>
    </row>
    <row r="419" customFormat="false" ht="17.85" hidden="false" customHeight="true" outlineLevel="0" collapsed="false">
      <c r="B419" s="61"/>
      <c r="C419" s="62" t="str">
        <f aca="false">HYPERLINK("http://www.emi-penza.ru/p/981.3777-002", "981.3777-002")</f>
        <v>981.3777-002</v>
      </c>
      <c r="D419" s="63"/>
      <c r="E419" s="63"/>
      <c r="F419" s="63"/>
      <c r="G419" s="63" t="s">
        <v>551</v>
      </c>
      <c r="H419" s="63"/>
      <c r="I419" s="64"/>
      <c r="J419" s="64"/>
      <c r="K419" s="63"/>
      <c r="L419" s="63"/>
      <c r="M419" s="64" t="s">
        <v>577</v>
      </c>
      <c r="N419" s="65" t="n">
        <v>75.4</v>
      </c>
      <c r="O419" s="65" t="n">
        <f aca="false">ROUND(N419*1.2, 2)</f>
        <v>90.48</v>
      </c>
      <c r="R419" s="10"/>
      <c r="S419" s="66" t="n">
        <v>34</v>
      </c>
      <c r="T419" s="66"/>
      <c r="U419" s="67" t="n">
        <v>0</v>
      </c>
      <c r="V419" s="66"/>
      <c r="W419" s="72" t="str">
        <f aca="false">IF(OR(U419=0,N419=""), "", O419*ROUND(U419,0))</f>
        <v/>
      </c>
      <c r="X419" s="99" t="str">
        <f aca="false">IF(AND(N419="", U419&lt;&gt;""),"?",IF(AND(W419&lt;&gt;0,W419&lt;&gt;""), "р.", ""))</f>
        <v/>
      </c>
      <c r="Y419" s="70" t="str">
        <f aca="false">IF(AND(S419&gt;0,U419&gt;0), S419*ROUND(U419,0) / 1000, "")</f>
        <v/>
      </c>
      <c r="Z419" s="99" t="str">
        <f aca="false">IF(AND(Y419&lt;&gt;0,Y419&lt;&gt;""), "кг", "")</f>
        <v/>
      </c>
      <c r="AA419" s="10"/>
    </row>
    <row r="420" customFormat="false" ht="17.85" hidden="false" customHeight="true" outlineLevel="0" collapsed="false">
      <c r="B420" s="61"/>
      <c r="C420" s="62" t="str">
        <f aca="false">HYPERLINK("http://www.emi-penza.ru/p/981.3777-012", "981.3777-012")</f>
        <v>981.3777-012</v>
      </c>
      <c r="D420" s="63"/>
      <c r="E420" s="63"/>
      <c r="F420" s="63"/>
      <c r="G420" s="63" t="s">
        <v>547</v>
      </c>
      <c r="H420" s="63"/>
      <c r="I420" s="64"/>
      <c r="J420" s="64"/>
      <c r="K420" s="63"/>
      <c r="L420" s="63"/>
      <c r="M420" s="64" t="s">
        <v>577</v>
      </c>
      <c r="N420" s="65" t="n">
        <v>75.2</v>
      </c>
      <c r="O420" s="65" t="n">
        <f aca="false">ROUND(N420*1.2, 2)</f>
        <v>90.24</v>
      </c>
      <c r="R420" s="10"/>
      <c r="S420" s="66" t="n">
        <v>33</v>
      </c>
      <c r="T420" s="66"/>
      <c r="U420" s="67" t="n">
        <v>0</v>
      </c>
      <c r="V420" s="66"/>
      <c r="W420" s="72" t="str">
        <f aca="false">IF(OR(U420=0,N420=""), "", O420*ROUND(U420,0))</f>
        <v/>
      </c>
      <c r="X420" s="99" t="str">
        <f aca="false">IF(AND(N420="", U420&lt;&gt;""),"?",IF(AND(W420&lt;&gt;0,W420&lt;&gt;""), "р.", ""))</f>
        <v/>
      </c>
      <c r="Y420" s="70" t="str">
        <f aca="false">IF(AND(S420&gt;0,U420&gt;0), S420*ROUND(U420,0) / 1000, "")</f>
        <v/>
      </c>
      <c r="Z420" s="99" t="str">
        <f aca="false">IF(AND(Y420&lt;&gt;0,Y420&lt;&gt;""), "кг", "")</f>
        <v/>
      </c>
      <c r="AA420" s="10"/>
    </row>
    <row r="421" customFormat="false" ht="17.85" hidden="false" customHeight="true" outlineLevel="0" collapsed="false">
      <c r="B421" s="59"/>
      <c r="C421" s="62" t="str">
        <f aca="false">HYPERLINK("http://www.emi-penza.ru/p/541/", "983.3777")</f>
        <v>983.3777</v>
      </c>
      <c r="D421" s="63" t="s">
        <v>578</v>
      </c>
      <c r="E421" s="63"/>
      <c r="F421" s="63"/>
      <c r="G421" s="63" t="s">
        <v>549</v>
      </c>
      <c r="H421" s="63"/>
      <c r="I421" s="64"/>
      <c r="J421" s="64"/>
      <c r="K421" s="63"/>
      <c r="L421" s="63"/>
      <c r="M421" s="64" t="s">
        <v>574</v>
      </c>
      <c r="N421" s="65" t="n">
        <v>57.15</v>
      </c>
      <c r="O421" s="65" t="n">
        <f aca="false">ROUND(N421*1.2, 2)</f>
        <v>68.58</v>
      </c>
      <c r="R421" s="10"/>
      <c r="S421" s="66" t="n">
        <v>30</v>
      </c>
      <c r="T421" s="66"/>
      <c r="U421" s="67" t="n">
        <v>0</v>
      </c>
      <c r="V421" s="66"/>
      <c r="W421" s="72" t="str">
        <f aca="false">IF(OR(U421=0,N421=""), "", O421*ROUND(U421,0))</f>
        <v/>
      </c>
      <c r="X421" s="99" t="str">
        <f aca="false">IF(AND(N421="", U421&lt;&gt;""),"?",IF(AND(W421&lt;&gt;0,W421&lt;&gt;""), "р.", ""))</f>
        <v/>
      </c>
      <c r="Y421" s="70" t="str">
        <f aca="false">IF(AND(S421&gt;0,U421&gt;0), S421*ROUND(U421,0) / 1000, "")</f>
        <v/>
      </c>
      <c r="Z421" s="99" t="str">
        <f aca="false">IF(AND(Y421&lt;&gt;0,Y421&lt;&gt;""), "кг", "")</f>
        <v/>
      </c>
      <c r="AA421" s="10"/>
    </row>
    <row r="422" customFormat="false" ht="17.85" hidden="false" customHeight="true" outlineLevel="0" collapsed="false">
      <c r="B422" s="59"/>
      <c r="C422" s="62" t="str">
        <f aca="false">HYPERLINK("http://www.emi-penza.ru/p/508/", "981.3777-01")</f>
        <v>981.3777-01</v>
      </c>
      <c r="D422" s="63" t="s">
        <v>579</v>
      </c>
      <c r="E422" s="63"/>
      <c r="F422" s="63"/>
      <c r="G422" s="63" t="s">
        <v>553</v>
      </c>
      <c r="H422" s="63"/>
      <c r="I422" s="64"/>
      <c r="J422" s="64"/>
      <c r="K422" s="63"/>
      <c r="L422" s="63"/>
      <c r="M422" s="64" t="s">
        <v>574</v>
      </c>
      <c r="N422" s="65" t="n">
        <v>55.85</v>
      </c>
      <c r="O422" s="65" t="n">
        <f aca="false">ROUND(N422*1.2, 2)</f>
        <v>67.02</v>
      </c>
      <c r="R422" s="10"/>
      <c r="S422" s="66" t="n">
        <v>30</v>
      </c>
      <c r="T422" s="66"/>
      <c r="U422" s="67" t="n">
        <v>0</v>
      </c>
      <c r="V422" s="66"/>
      <c r="W422" s="72" t="str">
        <f aca="false">IF(OR(U422=0,N422=""), "", O422*ROUND(U422,0))</f>
        <v/>
      </c>
      <c r="X422" s="99" t="str">
        <f aca="false">IF(AND(N422="", U422&lt;&gt;""),"?",IF(AND(W422&lt;&gt;0,W422&lt;&gt;""), "р.", ""))</f>
        <v/>
      </c>
      <c r="Y422" s="70" t="str">
        <f aca="false">IF(AND(S422&gt;0,U422&gt;0), S422*ROUND(U422,0) / 1000, "")</f>
        <v/>
      </c>
      <c r="Z422" s="99" t="str">
        <f aca="false">IF(AND(Y422&lt;&gt;0,Y422&lt;&gt;""), "кг", "")</f>
        <v/>
      </c>
      <c r="AA422" s="10"/>
    </row>
    <row r="423" customFormat="false" ht="17.85" hidden="false" customHeight="true" outlineLevel="0" collapsed="false">
      <c r="B423" s="59"/>
      <c r="C423" s="62" t="str">
        <f aca="false">HYPERLINK("http://www.emi-penza.ru/p/542/", "983.3777-01")</f>
        <v>983.3777-01</v>
      </c>
      <c r="D423" s="63" t="s">
        <v>580</v>
      </c>
      <c r="E423" s="63"/>
      <c r="F423" s="63"/>
      <c r="G423" s="63" t="s">
        <v>555</v>
      </c>
      <c r="H423" s="63"/>
      <c r="I423" s="64"/>
      <c r="J423" s="64"/>
      <c r="K423" s="63"/>
      <c r="L423" s="63"/>
      <c r="M423" s="64" t="s">
        <v>574</v>
      </c>
      <c r="N423" s="65" t="n">
        <v>56.85</v>
      </c>
      <c r="O423" s="65" t="n">
        <f aca="false">ROUND(N423*1.2, 2)</f>
        <v>68.22</v>
      </c>
      <c r="R423" s="10"/>
      <c r="S423" s="66" t="n">
        <v>30</v>
      </c>
      <c r="T423" s="66"/>
      <c r="U423" s="67" t="n">
        <v>0</v>
      </c>
      <c r="V423" s="66"/>
      <c r="W423" s="72" t="str">
        <f aca="false">IF(OR(U423=0,N423=""), "", O423*ROUND(U423,0))</f>
        <v/>
      </c>
      <c r="X423" s="99" t="str">
        <f aca="false">IF(AND(N423="", U423&lt;&gt;""),"?",IF(AND(W423&lt;&gt;0,W423&lt;&gt;""), "р.", ""))</f>
        <v/>
      </c>
      <c r="Y423" s="70" t="str">
        <f aca="false">IF(AND(S423&gt;0,U423&gt;0), S423*ROUND(U423,0) / 1000, "")</f>
        <v/>
      </c>
      <c r="Z423" s="99" t="str">
        <f aca="false">IF(AND(Y423&lt;&gt;0,Y423&lt;&gt;""), "кг", "")</f>
        <v/>
      </c>
      <c r="AA423" s="10"/>
    </row>
    <row r="424" customFormat="false" ht="17.85" hidden="false" customHeight="true" outlineLevel="0" collapsed="false">
      <c r="B424" s="59"/>
      <c r="C424" s="62" t="str">
        <f aca="false">HYPERLINK("http://www.emi-penza.ru/p/516/", "985.3777")</f>
        <v>985.3777</v>
      </c>
      <c r="D424" s="63" t="s">
        <v>581</v>
      </c>
      <c r="E424" s="63"/>
      <c r="F424" s="63"/>
      <c r="G424" s="63" t="s">
        <v>547</v>
      </c>
      <c r="H424" s="63"/>
      <c r="I424" s="64"/>
      <c r="J424" s="64"/>
      <c r="K424" s="63"/>
      <c r="L424" s="63"/>
      <c r="M424" s="64" t="s">
        <v>574</v>
      </c>
      <c r="N424" s="65" t="n">
        <v>55.85</v>
      </c>
      <c r="O424" s="65" t="n">
        <f aca="false">ROUND(N424*1.2, 2)</f>
        <v>67.02</v>
      </c>
      <c r="R424" s="10"/>
      <c r="S424" s="66" t="n">
        <v>30</v>
      </c>
      <c r="T424" s="66"/>
      <c r="U424" s="67" t="n">
        <v>0</v>
      </c>
      <c r="V424" s="66"/>
      <c r="W424" s="72" t="str">
        <f aca="false">IF(OR(U424=0,N424=""), "", O424*ROUND(U424,0))</f>
        <v/>
      </c>
      <c r="X424" s="99" t="str">
        <f aca="false">IF(AND(N424="", U424&lt;&gt;""),"?",IF(AND(W424&lt;&gt;0,W424&lt;&gt;""), "р.", ""))</f>
        <v/>
      </c>
      <c r="Y424" s="70" t="str">
        <f aca="false">IF(AND(S424&gt;0,U424&gt;0), S424*ROUND(U424,0) / 1000, "")</f>
        <v/>
      </c>
      <c r="Z424" s="99" t="str">
        <f aca="false">IF(AND(Y424&lt;&gt;0,Y424&lt;&gt;""), "кг", "")</f>
        <v/>
      </c>
      <c r="AA424" s="10"/>
    </row>
    <row r="425" customFormat="false" ht="17.85" hidden="false" customHeight="true" outlineLevel="0" collapsed="false">
      <c r="B425" s="59"/>
      <c r="C425" s="127" t="str">
        <f aca="false">HYPERLINK("http://www.emi-penza.ru/p/543/", "987.3777")</f>
        <v>987.3777</v>
      </c>
      <c r="D425" s="128" t="s">
        <v>582</v>
      </c>
      <c r="E425" s="128"/>
      <c r="F425" s="128"/>
      <c r="G425" s="128" t="s">
        <v>559</v>
      </c>
      <c r="H425" s="128"/>
      <c r="I425" s="129"/>
      <c r="J425" s="129"/>
      <c r="K425" s="128"/>
      <c r="L425" s="128"/>
      <c r="M425" s="129" t="s">
        <v>574</v>
      </c>
      <c r="N425" s="130" t="n">
        <v>56.85</v>
      </c>
      <c r="O425" s="130" t="n">
        <f aca="false">ROUND(N425*1.2, 2)</f>
        <v>68.22</v>
      </c>
      <c r="R425" s="10"/>
      <c r="S425" s="131" t="n">
        <v>30</v>
      </c>
      <c r="T425" s="131"/>
      <c r="U425" s="132" t="n">
        <v>0</v>
      </c>
      <c r="V425" s="131"/>
      <c r="W425" s="133" t="str">
        <f aca="false">IF(OR(U425=0,N425=""), "", O425*ROUND(U425,0))</f>
        <v/>
      </c>
      <c r="X425" s="134" t="str">
        <f aca="false">IF(AND(N425="", U425&lt;&gt;""),"?",IF(AND(W425&lt;&gt;0,W425&lt;&gt;""), "р.", ""))</f>
        <v/>
      </c>
      <c r="Y425" s="135" t="str">
        <f aca="false">IF(AND(S425&gt;0,U425&gt;0), S425*ROUND(U425,0) / 1000, "")</f>
        <v/>
      </c>
      <c r="Z425" s="134" t="str">
        <f aca="false">IF(AND(Y425&lt;&gt;0,Y425&lt;&gt;""), "кг", "")</f>
        <v/>
      </c>
      <c r="AA425" s="10"/>
    </row>
    <row r="426" customFormat="false" ht="5.1" hidden="false" customHeight="true" outlineLevel="0" collapsed="false">
      <c r="B426" s="3"/>
      <c r="M426" s="3"/>
      <c r="R426" s="10"/>
      <c r="S426" s="136"/>
      <c r="T426" s="136"/>
      <c r="U426" s="137"/>
      <c r="V426" s="136"/>
      <c r="W426" s="12" t="str">
        <f aca="false">IF(OR(U426=0,N426=""), "", O426*ROUND(U426,0))</f>
        <v/>
      </c>
      <c r="X426" s="189" t="str">
        <f aca="false">IF(AND(N426="", U426&lt;&gt;""),"?",IF(AND(W426&lt;&gt;0,W426&lt;&gt;""), "р.", ""))</f>
        <v/>
      </c>
      <c r="Y426" s="14" t="str">
        <f aca="false">IF(AND(S426&gt;0,U426&gt;0), S426*ROUND(U426,0) / 1000, "")</f>
        <v/>
      </c>
      <c r="Z426" s="189" t="str">
        <f aca="false">IF(AND(Y426&lt;&gt;0,Y426&lt;&gt;""), "кг", "")</f>
        <v/>
      </c>
      <c r="AA426" s="10"/>
    </row>
    <row r="427" customFormat="false" ht="17.85" hidden="false" customHeight="true" outlineLevel="0" collapsed="false">
      <c r="B427" s="59"/>
      <c r="C427" s="62" t="str">
        <f aca="false">HYPERLINK("http://www.emi-penza.ru/p/509/", "981.3777-10")</f>
        <v>981.3777-10</v>
      </c>
      <c r="D427" s="63" t="s">
        <v>583</v>
      </c>
      <c r="E427" s="63"/>
      <c r="F427" s="63"/>
      <c r="G427" s="63" t="s">
        <v>561</v>
      </c>
      <c r="H427" s="63"/>
      <c r="I427" s="64"/>
      <c r="J427" s="64"/>
      <c r="K427" s="63"/>
      <c r="L427" s="63"/>
      <c r="M427" s="64" t="s">
        <v>584</v>
      </c>
      <c r="N427" s="65" t="n">
        <v>54.6</v>
      </c>
      <c r="O427" s="65" t="n">
        <f aca="false">ROUND(N427*1.2, 2)</f>
        <v>65.52</v>
      </c>
      <c r="R427" s="10"/>
      <c r="S427" s="66" t="n">
        <v>30</v>
      </c>
      <c r="T427" s="66"/>
      <c r="U427" s="67" t="n">
        <v>0</v>
      </c>
      <c r="V427" s="66"/>
      <c r="W427" s="72" t="str">
        <f aca="false">IF(OR(U427=0,N427=""), "", O427*ROUND(U427,0))</f>
        <v/>
      </c>
      <c r="X427" s="99" t="str">
        <f aca="false">IF(AND(N427="", U427&lt;&gt;""),"?",IF(AND(W427&lt;&gt;0,W427&lt;&gt;""), "р.", ""))</f>
        <v/>
      </c>
      <c r="Y427" s="70" t="str">
        <f aca="false">IF(AND(S427&gt;0,U427&gt;0), S427*ROUND(U427,0) / 1000, "")</f>
        <v/>
      </c>
      <c r="Z427" s="99" t="str">
        <f aca="false">IF(AND(Y427&lt;&gt;0,Y427&lt;&gt;""), "кг", "")</f>
        <v/>
      </c>
      <c r="AA427" s="10"/>
    </row>
    <row r="428" customFormat="false" ht="17.85" hidden="false" customHeight="true" outlineLevel="0" collapsed="false">
      <c r="B428" s="61"/>
      <c r="C428" s="62" t="str">
        <f aca="false">HYPERLINK("http://www.emi-penza.ru/p/981.3777-102", "981.3777-102")</f>
        <v>981.3777-102</v>
      </c>
      <c r="D428" s="63"/>
      <c r="E428" s="63"/>
      <c r="F428" s="63"/>
      <c r="G428" s="63" t="s">
        <v>561</v>
      </c>
      <c r="H428" s="63"/>
      <c r="I428" s="64"/>
      <c r="J428" s="64"/>
      <c r="K428" s="63"/>
      <c r="L428" s="63"/>
      <c r="M428" s="64" t="s">
        <v>577</v>
      </c>
      <c r="N428" s="65" t="n">
        <v>74</v>
      </c>
      <c r="O428" s="65" t="n">
        <f aca="false">ROUND(N428*1.2, 2)</f>
        <v>88.8</v>
      </c>
      <c r="R428" s="10"/>
      <c r="S428" s="66" t="n">
        <v>34</v>
      </c>
      <c r="T428" s="66"/>
      <c r="U428" s="67" t="n">
        <v>0</v>
      </c>
      <c r="V428" s="66"/>
      <c r="W428" s="72" t="str">
        <f aca="false">IF(OR(U428=0,N428=""), "", O428*ROUND(U428,0))</f>
        <v/>
      </c>
      <c r="X428" s="99" t="str">
        <f aca="false">IF(AND(N428="", U428&lt;&gt;""),"?",IF(AND(W428&lt;&gt;0,W428&lt;&gt;""), "р.", ""))</f>
        <v/>
      </c>
      <c r="Y428" s="70" t="str">
        <f aca="false">IF(AND(S428&gt;0,U428&gt;0), S428*ROUND(U428,0) / 1000, "")</f>
        <v/>
      </c>
      <c r="Z428" s="99" t="str">
        <f aca="false">IF(AND(Y428&lt;&gt;0,Y428&lt;&gt;""), "кг", "")</f>
        <v/>
      </c>
      <c r="AA428" s="10"/>
    </row>
    <row r="429" customFormat="false" ht="17.85" hidden="false" customHeight="true" outlineLevel="0" collapsed="false">
      <c r="B429" s="61"/>
      <c r="C429" s="62" t="str">
        <f aca="false">HYPERLINK("http://www.emi-penza.ru/p/981.3777-112", "981.3777-112")</f>
        <v>981.3777-112</v>
      </c>
      <c r="D429" s="63"/>
      <c r="E429" s="63"/>
      <c r="F429" s="63"/>
      <c r="G429" s="63" t="s">
        <v>563</v>
      </c>
      <c r="H429" s="63"/>
      <c r="I429" s="64"/>
      <c r="J429" s="64"/>
      <c r="K429" s="63"/>
      <c r="L429" s="63"/>
      <c r="M429" s="64" t="s">
        <v>577</v>
      </c>
      <c r="N429" s="65" t="n">
        <v>74</v>
      </c>
      <c r="O429" s="65" t="n">
        <f aca="false">ROUND(N429*1.2, 2)</f>
        <v>88.8</v>
      </c>
      <c r="R429" s="10"/>
      <c r="S429" s="66" t="n">
        <v>33</v>
      </c>
      <c r="T429" s="66"/>
      <c r="U429" s="67" t="n">
        <v>0</v>
      </c>
      <c r="V429" s="66"/>
      <c r="W429" s="72" t="str">
        <f aca="false">IF(OR(U429=0,N429=""), "", O429*ROUND(U429,0))</f>
        <v/>
      </c>
      <c r="X429" s="99" t="str">
        <f aca="false">IF(AND(N429="", U429&lt;&gt;""),"?",IF(AND(W429&lt;&gt;0,W429&lt;&gt;""), "р.", ""))</f>
        <v/>
      </c>
      <c r="Y429" s="70" t="str">
        <f aca="false">IF(AND(S429&gt;0,U429&gt;0), S429*ROUND(U429,0) / 1000, "")</f>
        <v/>
      </c>
      <c r="Z429" s="99" t="str">
        <f aca="false">IF(AND(Y429&lt;&gt;0,Y429&lt;&gt;""), "кг", "")</f>
        <v/>
      </c>
      <c r="AA429" s="10"/>
    </row>
    <row r="430" customFormat="false" ht="17.85" hidden="false" customHeight="true" outlineLevel="0" collapsed="false">
      <c r="B430" s="59"/>
      <c r="C430" s="62" t="str">
        <f aca="false">HYPERLINK("http://www.emi-penza.ru/p/544/", "983.3777-10")</f>
        <v>983.3777-10</v>
      </c>
      <c r="D430" s="63" t="s">
        <v>585</v>
      </c>
      <c r="E430" s="63"/>
      <c r="F430" s="63"/>
      <c r="G430" s="63" t="s">
        <v>565</v>
      </c>
      <c r="H430" s="63"/>
      <c r="I430" s="64"/>
      <c r="J430" s="64"/>
      <c r="K430" s="63"/>
      <c r="L430" s="63"/>
      <c r="M430" s="64" t="s">
        <v>584</v>
      </c>
      <c r="N430" s="65" t="n">
        <v>55.6</v>
      </c>
      <c r="O430" s="65" t="n">
        <f aca="false">ROUND(N430*1.2, 2)</f>
        <v>66.72</v>
      </c>
      <c r="R430" s="10"/>
      <c r="S430" s="66" t="n">
        <v>30</v>
      </c>
      <c r="T430" s="66"/>
      <c r="U430" s="67" t="n">
        <v>0</v>
      </c>
      <c r="V430" s="66"/>
      <c r="W430" s="72" t="str">
        <f aca="false">IF(OR(U430=0,N430=""), "", O430*ROUND(U430,0))</f>
        <v/>
      </c>
      <c r="X430" s="99" t="str">
        <f aca="false">IF(AND(N430="", U430&lt;&gt;""),"?",IF(AND(W430&lt;&gt;0,W430&lt;&gt;""), "р.", ""))</f>
        <v/>
      </c>
      <c r="Y430" s="70" t="str">
        <f aca="false">IF(AND(S430&gt;0,U430&gt;0), S430*ROUND(U430,0) / 1000, "")</f>
        <v/>
      </c>
      <c r="Z430" s="99" t="str">
        <f aca="false">IF(AND(Y430&lt;&gt;0,Y430&lt;&gt;""), "кг", "")</f>
        <v/>
      </c>
      <c r="AA430" s="10"/>
    </row>
    <row r="431" customFormat="false" ht="17.85" hidden="false" customHeight="true" outlineLevel="0" collapsed="false">
      <c r="B431" s="59"/>
      <c r="C431" s="62" t="str">
        <f aca="false">HYPERLINK("http://www.emi-penza.ru/p/510/", "981.3777-11")</f>
        <v>981.3777-11</v>
      </c>
      <c r="D431" s="63" t="s">
        <v>586</v>
      </c>
      <c r="E431" s="63"/>
      <c r="F431" s="63"/>
      <c r="G431" s="63" t="s">
        <v>567</v>
      </c>
      <c r="H431" s="63"/>
      <c r="I431" s="64"/>
      <c r="J431" s="64"/>
      <c r="K431" s="63"/>
      <c r="L431" s="63"/>
      <c r="M431" s="64" t="s">
        <v>584</v>
      </c>
      <c r="N431" s="65" t="n">
        <v>54.4</v>
      </c>
      <c r="O431" s="65" t="n">
        <f aca="false">ROUND(N431*1.2, 2)</f>
        <v>65.28</v>
      </c>
      <c r="R431" s="10"/>
      <c r="S431" s="66" t="n">
        <v>30</v>
      </c>
      <c r="T431" s="66"/>
      <c r="U431" s="67" t="n">
        <v>0</v>
      </c>
      <c r="V431" s="66"/>
      <c r="W431" s="72" t="str">
        <f aca="false">IF(OR(U431=0,N431=""), "", O431*ROUND(U431,0))</f>
        <v/>
      </c>
      <c r="X431" s="99" t="str">
        <f aca="false">IF(AND(N431="", U431&lt;&gt;""),"?",IF(AND(W431&lt;&gt;0,W431&lt;&gt;""), "р.", ""))</f>
        <v/>
      </c>
      <c r="Y431" s="70" t="str">
        <f aca="false">IF(AND(S431&gt;0,U431&gt;0), S431*ROUND(U431,0) / 1000, "")</f>
        <v/>
      </c>
      <c r="Z431" s="99" t="str">
        <f aca="false">IF(AND(Y431&lt;&gt;0,Y431&lt;&gt;""), "кг", "")</f>
        <v/>
      </c>
      <c r="AA431" s="10"/>
    </row>
    <row r="432" customFormat="false" ht="17.85" hidden="false" customHeight="true" outlineLevel="0" collapsed="false">
      <c r="B432" s="59"/>
      <c r="C432" s="62" t="str">
        <f aca="false">HYPERLINK("http://www.emi-penza.ru/p/545/", "983.3777-11")</f>
        <v>983.3777-11</v>
      </c>
      <c r="D432" s="63" t="s">
        <v>587</v>
      </c>
      <c r="E432" s="63"/>
      <c r="F432" s="63"/>
      <c r="G432" s="63" t="s">
        <v>569</v>
      </c>
      <c r="H432" s="63"/>
      <c r="I432" s="64"/>
      <c r="J432" s="64"/>
      <c r="K432" s="63"/>
      <c r="L432" s="63"/>
      <c r="M432" s="64" t="s">
        <v>584</v>
      </c>
      <c r="N432" s="65" t="n">
        <v>55.4</v>
      </c>
      <c r="O432" s="65" t="n">
        <f aca="false">ROUND(N432*1.2, 2)</f>
        <v>66.48</v>
      </c>
      <c r="R432" s="10"/>
      <c r="S432" s="66" t="n">
        <v>30</v>
      </c>
      <c r="T432" s="66"/>
      <c r="U432" s="67" t="n">
        <v>0</v>
      </c>
      <c r="V432" s="66"/>
      <c r="W432" s="72" t="str">
        <f aca="false">IF(OR(U432=0,N432=""), "", O432*ROUND(U432,0))</f>
        <v/>
      </c>
      <c r="X432" s="99" t="str">
        <f aca="false">IF(AND(N432="", U432&lt;&gt;""),"?",IF(AND(W432&lt;&gt;0,W432&lt;&gt;""), "р.", ""))</f>
        <v/>
      </c>
      <c r="Y432" s="70" t="str">
        <f aca="false">IF(AND(S432&gt;0,U432&gt;0), S432*ROUND(U432,0) / 1000, "")</f>
        <v/>
      </c>
      <c r="Z432" s="99" t="str">
        <f aca="false">IF(AND(Y432&lt;&gt;0,Y432&lt;&gt;""), "кг", "")</f>
        <v/>
      </c>
      <c r="AA432" s="10"/>
    </row>
    <row r="433" customFormat="false" ht="17.85" hidden="false" customHeight="true" outlineLevel="0" collapsed="false">
      <c r="B433" s="59"/>
      <c r="C433" s="62" t="str">
        <f aca="false">HYPERLINK("http://www.emi-penza.ru/p/517/", "985.3777-10")</f>
        <v>985.3777-10</v>
      </c>
      <c r="D433" s="63" t="s">
        <v>588</v>
      </c>
      <c r="E433" s="63"/>
      <c r="F433" s="63"/>
      <c r="G433" s="63" t="s">
        <v>563</v>
      </c>
      <c r="H433" s="63"/>
      <c r="I433" s="64"/>
      <c r="J433" s="64"/>
      <c r="K433" s="63"/>
      <c r="L433" s="63"/>
      <c r="M433" s="64" t="s">
        <v>584</v>
      </c>
      <c r="N433" s="65" t="n">
        <v>54.6</v>
      </c>
      <c r="O433" s="65" t="n">
        <f aca="false">ROUND(N433*1.2, 2)</f>
        <v>65.52</v>
      </c>
      <c r="R433" s="10"/>
      <c r="S433" s="66" t="n">
        <v>30</v>
      </c>
      <c r="T433" s="66"/>
      <c r="U433" s="67" t="n">
        <v>0</v>
      </c>
      <c r="V433" s="66"/>
      <c r="W433" s="72" t="str">
        <f aca="false">IF(OR(U433=0,N433=""), "", O433*ROUND(U433,0))</f>
        <v/>
      </c>
      <c r="X433" s="99" t="str">
        <f aca="false">IF(AND(N433="", U433&lt;&gt;""),"?",IF(AND(W433&lt;&gt;0,W433&lt;&gt;""), "р.", ""))</f>
        <v/>
      </c>
      <c r="Y433" s="70" t="str">
        <f aca="false">IF(AND(S433&gt;0,U433&gt;0), S433*ROUND(U433,0) / 1000, "")</f>
        <v/>
      </c>
      <c r="Z433" s="99" t="str">
        <f aca="false">IF(AND(Y433&lt;&gt;0,Y433&lt;&gt;""), "кг", "")</f>
        <v/>
      </c>
      <c r="AA433" s="10"/>
    </row>
    <row r="434" customFormat="false" ht="17.85" hidden="false" customHeight="true" outlineLevel="0" collapsed="false">
      <c r="B434" s="59"/>
      <c r="C434" s="127" t="str">
        <f aca="false">HYPERLINK("http://www.emi-penza.ru/p/546/", "987.3777-10")</f>
        <v>987.3777-10</v>
      </c>
      <c r="D434" s="128" t="s">
        <v>589</v>
      </c>
      <c r="E434" s="128"/>
      <c r="F434" s="128"/>
      <c r="G434" s="128" t="s">
        <v>572</v>
      </c>
      <c r="H434" s="128"/>
      <c r="I434" s="129"/>
      <c r="J434" s="129"/>
      <c r="K434" s="128"/>
      <c r="L434" s="128"/>
      <c r="M434" s="129" t="s">
        <v>584</v>
      </c>
      <c r="N434" s="130" t="n">
        <v>55.6</v>
      </c>
      <c r="O434" s="130" t="n">
        <f aca="false">ROUND(N434*1.2, 2)</f>
        <v>66.72</v>
      </c>
      <c r="R434" s="10"/>
      <c r="S434" s="131" t="n">
        <v>30</v>
      </c>
      <c r="T434" s="131"/>
      <c r="U434" s="132" t="n">
        <v>0</v>
      </c>
      <c r="V434" s="131"/>
      <c r="W434" s="133" t="str">
        <f aca="false">IF(OR(U434=0,N434=""), "", O434*ROUND(U434,0))</f>
        <v/>
      </c>
      <c r="X434" s="134" t="str">
        <f aca="false">IF(AND(N434="", U434&lt;&gt;""),"?",IF(AND(W434&lt;&gt;0,W434&lt;&gt;""), "р.", ""))</f>
        <v/>
      </c>
      <c r="Y434" s="135" t="str">
        <f aca="false">IF(AND(S434&gt;0,U434&gt;0), S434*ROUND(U434,0) / 1000, "")</f>
        <v/>
      </c>
      <c r="Z434" s="134" t="str">
        <f aca="false">IF(AND(Y434&lt;&gt;0,Y434&lt;&gt;""), "кг", "")</f>
        <v/>
      </c>
      <c r="AA434" s="10"/>
    </row>
    <row r="435" customFormat="false" ht="5.1" hidden="false" customHeight="true" outlineLevel="0" collapsed="false">
      <c r="B435" s="3"/>
      <c r="M435" s="3"/>
      <c r="R435" s="10"/>
      <c r="S435" s="136"/>
      <c r="T435" s="136"/>
      <c r="U435" s="137"/>
      <c r="V435" s="136"/>
      <c r="W435" s="12" t="str">
        <f aca="false">IF(OR(U435=0,N435=""), "", O435*ROUND(U435,0))</f>
        <v/>
      </c>
      <c r="X435" s="189" t="str">
        <f aca="false">IF(AND(N435="", U435&lt;&gt;""),"?",IF(AND(W435&lt;&gt;0,W435&lt;&gt;""), "р.", ""))</f>
        <v/>
      </c>
      <c r="Y435" s="14" t="str">
        <f aca="false">IF(AND(S435&gt;0,U435&gt;0), S435*ROUND(U435,0) / 1000, "")</f>
        <v/>
      </c>
      <c r="Z435" s="189" t="str">
        <f aca="false">IF(AND(Y435&lt;&gt;0,Y435&lt;&gt;""), "кг", "")</f>
        <v/>
      </c>
      <c r="AA435" s="10"/>
    </row>
    <row r="436" customFormat="false" ht="11.35" hidden="false" customHeight="true" outlineLevel="0" collapsed="false">
      <c r="B436" s="59"/>
      <c r="C436" s="190" t="s">
        <v>590</v>
      </c>
      <c r="D436" s="191" t="s">
        <v>591</v>
      </c>
      <c r="E436" s="191"/>
      <c r="F436" s="191"/>
      <c r="G436" s="146"/>
      <c r="H436" s="146"/>
      <c r="I436" s="150"/>
      <c r="J436" s="150"/>
      <c r="K436" s="146"/>
      <c r="L436" s="146"/>
      <c r="M436" s="150"/>
      <c r="O436" s="151"/>
      <c r="R436" s="10"/>
      <c r="S436" s="152"/>
      <c r="T436" s="152"/>
      <c r="U436" s="153"/>
      <c r="V436" s="152"/>
      <c r="W436" s="154" t="str">
        <f aca="false">IF(OR(U436=0,N436=""), "", O436*ROUND(U436,0))</f>
        <v/>
      </c>
      <c r="X436" s="155" t="str">
        <f aca="false">IF(AND(N436="", U436&lt;&gt;""),"?",IF(AND(W436&lt;&gt;0,W436&lt;&gt;""), "р.", ""))</f>
        <v/>
      </c>
      <c r="Y436" s="156" t="str">
        <f aca="false">IF(AND(S436&gt;0,U436&gt;0), S436*ROUND(U436,0) / 1000, "")</f>
        <v/>
      </c>
      <c r="Z436" s="155" t="str">
        <f aca="false">IF(AND(Y436&lt;&gt;0,Y436&lt;&gt;""), "кг", "")</f>
        <v/>
      </c>
      <c r="AA436" s="10"/>
    </row>
    <row r="437" customFormat="false" ht="11.35" hidden="false" customHeight="true" outlineLevel="0" collapsed="false">
      <c r="B437" s="59"/>
      <c r="C437" s="192" t="s">
        <v>592</v>
      </c>
      <c r="D437" s="193" t="s">
        <v>593</v>
      </c>
      <c r="E437" s="193"/>
      <c r="F437" s="193"/>
      <c r="G437" s="194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7" s="146"/>
      <c r="I437" s="150"/>
      <c r="J437" s="150"/>
      <c r="K437" s="146"/>
      <c r="L437" s="146"/>
      <c r="M437" s="150"/>
      <c r="N437" s="195"/>
      <c r="O437" s="195"/>
      <c r="R437" s="10"/>
      <c r="S437" s="152"/>
      <c r="T437" s="152"/>
      <c r="U437" s="153"/>
      <c r="V437" s="152"/>
      <c r="W437" s="154" t="str">
        <f aca="false">IF(OR(U437=0,N437=""), "", O437*ROUND(U437,0))</f>
        <v/>
      </c>
      <c r="X437" s="155" t="str">
        <f aca="false">IF(AND(N437="", U437&lt;&gt;""),"?",IF(AND(W437&lt;&gt;0,W437&lt;&gt;""), "р.", ""))</f>
        <v/>
      </c>
      <c r="Y437" s="156" t="str">
        <f aca="false">IF(AND(S437&gt;0,U437&gt;0), S437*ROUND(U437,0) / 1000, "")</f>
        <v/>
      </c>
      <c r="Z437" s="155" t="str">
        <f aca="false">IF(AND(Y437&lt;&gt;0,Y437&lt;&gt;""), "кг", "")</f>
        <v/>
      </c>
      <c r="AA437" s="10"/>
    </row>
    <row r="438" customFormat="false" ht="11.35" hidden="false" customHeight="true" outlineLevel="0" collapsed="false">
      <c r="B438" s="59"/>
      <c r="C438" s="196" t="s">
        <v>594</v>
      </c>
      <c r="D438" s="197" t="s">
        <v>595</v>
      </c>
      <c r="E438" s="197"/>
      <c r="F438" s="197"/>
      <c r="G438" s="194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38" s="146"/>
      <c r="I438" s="150"/>
      <c r="J438" s="150"/>
      <c r="K438" s="146"/>
      <c r="L438" s="146"/>
      <c r="M438" s="150"/>
      <c r="N438" s="151"/>
      <c r="O438" s="151"/>
      <c r="R438" s="10"/>
      <c r="S438" s="152"/>
      <c r="T438" s="152"/>
      <c r="U438" s="153"/>
      <c r="V438" s="152"/>
      <c r="W438" s="154" t="str">
        <f aca="false">IF(OR(U438=0,N438=""), "", O438*ROUND(U438,0))</f>
        <v/>
      </c>
      <c r="X438" s="155" t="str">
        <f aca="false">IF(AND(N438="", U438&lt;&gt;""),"?",IF(AND(W438&lt;&gt;0,W438&lt;&gt;""), "р.", ""))</f>
        <v/>
      </c>
      <c r="Y438" s="156" t="str">
        <f aca="false">IF(AND(S438&gt;0,U438&gt;0), S438*ROUND(U438,0) / 1000, "")</f>
        <v/>
      </c>
      <c r="Z438" s="155" t="str">
        <f aca="false">IF(AND(Y438&lt;&gt;0,Y438&lt;&gt;""), "кг", "")</f>
        <v/>
      </c>
      <c r="AA438" s="10"/>
    </row>
    <row r="439" customFormat="false" ht="11.35" hidden="false" customHeight="true" outlineLevel="0" collapsed="false">
      <c r="B439" s="59"/>
      <c r="C439" s="198" t="s">
        <v>596</v>
      </c>
      <c r="D439" s="199" t="s">
        <v>597</v>
      </c>
      <c r="E439" s="199"/>
      <c r="F439" s="199"/>
      <c r="G439" s="146"/>
      <c r="H439" s="146"/>
      <c r="I439" s="150"/>
      <c r="J439" s="150"/>
      <c r="K439" s="146"/>
      <c r="L439" s="146"/>
      <c r="M439" s="150"/>
      <c r="N439" s="151"/>
      <c r="O439" s="151"/>
      <c r="R439" s="10"/>
      <c r="S439" s="152"/>
      <c r="T439" s="152"/>
      <c r="U439" s="153"/>
      <c r="V439" s="152"/>
      <c r="W439" s="154" t="str">
        <f aca="false">IF(OR(U439=0,N439=""), "", O439*ROUND(U439,0))</f>
        <v/>
      </c>
      <c r="X439" s="155" t="str">
        <f aca="false">IF(AND(N439="", U439&lt;&gt;""),"?",IF(AND(W439&lt;&gt;0,W439&lt;&gt;""), "р.", ""))</f>
        <v/>
      </c>
      <c r="Y439" s="156" t="str">
        <f aca="false">IF(AND(S439&gt;0,U439&gt;0), S439*ROUND(U439,0) / 1000, "")</f>
        <v/>
      </c>
      <c r="Z439" s="155" t="str">
        <f aca="false">IF(AND(Y439&lt;&gt;0,Y439&lt;&gt;""), "кг", "")</f>
        <v/>
      </c>
      <c r="AA439" s="10"/>
    </row>
    <row r="440" customFormat="false" ht="11.35" hidden="false" customHeight="true" outlineLevel="0" collapsed="false">
      <c r="B440" s="3"/>
      <c r="R440" s="10"/>
      <c r="S440" s="136"/>
      <c r="T440" s="136"/>
      <c r="U440" s="137"/>
      <c r="V440" s="136"/>
      <c r="W440" s="12" t="str">
        <f aca="false">IF(OR(U440=0,N440=""), "", O440*ROUND(U440,0))</f>
        <v/>
      </c>
      <c r="X440" s="143" t="str">
        <f aca="false">IF(AND(N440="", U440&lt;&gt;""),"?",IF(AND(W440&lt;&gt;0,W440&lt;&gt;""), "р.", ""))</f>
        <v/>
      </c>
      <c r="Y440" s="14" t="str">
        <f aca="false">IF(AND(S440&gt;0,U440&gt;0), S440*ROUND(U440,0) / 1000, "")</f>
        <v/>
      </c>
      <c r="Z440" s="143" t="str">
        <f aca="false">IF(AND(Y440&lt;&gt;0,Y440&lt;&gt;""), "кг", "")</f>
        <v/>
      </c>
      <c r="AA440" s="10"/>
    </row>
    <row r="441" customFormat="false" ht="22.7" hidden="false" customHeight="true" outlineLevel="0" collapsed="false">
      <c r="B441" s="3"/>
      <c r="C441" s="51" t="s">
        <v>598</v>
      </c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3"/>
      <c r="O441" s="53"/>
      <c r="R441" s="10"/>
      <c r="S441" s="138"/>
      <c r="T441" s="138"/>
      <c r="U441" s="139"/>
      <c r="V441" s="138"/>
      <c r="W441" s="140" t="str">
        <f aca="false">IF(OR(U441=0,N441=""), "", O441*ROUND(U441,0))</f>
        <v/>
      </c>
      <c r="X441" s="141" t="str">
        <f aca="false">IF(AND(N441="", U441&lt;&gt;""),"?",IF(AND(W441&lt;&gt;0,W441&lt;&gt;""), "р.", ""))</f>
        <v/>
      </c>
      <c r="Y441" s="142" t="str">
        <f aca="false">IF(AND(S441&gt;0,U441&gt;0), S441*ROUND(U441,0) / 1000, "")</f>
        <v/>
      </c>
      <c r="Z441" s="141" t="str">
        <f aca="false">IF(AND(Y441&lt;&gt;0,Y441&lt;&gt;""), "кг", "")</f>
        <v/>
      </c>
      <c r="AA441" s="10"/>
    </row>
    <row r="442" customFormat="false" ht="2.85" hidden="false" customHeight="true" outlineLevel="0" collapsed="false">
      <c r="B442" s="3"/>
      <c r="R442" s="10"/>
      <c r="S442" s="136"/>
      <c r="T442" s="136"/>
      <c r="U442" s="137"/>
      <c r="V442" s="136"/>
      <c r="W442" s="12" t="str">
        <f aca="false">IF(OR(U442=0,N442=""), "", O442*ROUND(U442,0))</f>
        <v/>
      </c>
      <c r="X442" s="143" t="str">
        <f aca="false">IF(AND(N442="", U442&lt;&gt;""),"?",IF(AND(W442&lt;&gt;0,W442&lt;&gt;""), "р.", ""))</f>
        <v/>
      </c>
      <c r="Y442" s="14" t="str">
        <f aca="false">IF(AND(S442&gt;0,U442&gt;0), S442*ROUND(U442,0) / 1000, "")</f>
        <v/>
      </c>
      <c r="Z442" s="143" t="str">
        <f aca="false">IF(AND(Y442&lt;&gt;0,Y442&lt;&gt;""), "кг", "")</f>
        <v/>
      </c>
      <c r="AA442" s="10"/>
    </row>
    <row r="443" customFormat="false" ht="17.85" hidden="false" customHeight="true" outlineLevel="0" collapsed="false">
      <c r="B443" s="61"/>
      <c r="C443" s="200" t="str">
        <f aca="false">HYPERLINK("http://www.emi-penza.ru/p/46.3787-32-368-A-24", "46.3787-32-368-A-24")</f>
        <v>46.3787-32-368-A-24</v>
      </c>
      <c r="D443" s="63"/>
      <c r="E443" s="63" t="s">
        <v>599</v>
      </c>
      <c r="F443" s="63"/>
      <c r="G443" s="63" t="s">
        <v>600</v>
      </c>
      <c r="H443" s="63"/>
      <c r="I443" s="64"/>
      <c r="J443" s="64"/>
      <c r="K443" s="63"/>
      <c r="L443" s="63"/>
      <c r="M443" s="64" t="s">
        <v>601</v>
      </c>
      <c r="N443" s="65" t="n">
        <v>133</v>
      </c>
      <c r="O443" s="65" t="n">
        <f aca="false">ROUND(N443*1.2, 2)</f>
        <v>159.6</v>
      </c>
      <c r="R443" s="10"/>
      <c r="S443" s="66" t="n">
        <v>35</v>
      </c>
      <c r="T443" s="66"/>
      <c r="U443" s="67" t="n">
        <v>0</v>
      </c>
      <c r="V443" s="66"/>
      <c r="W443" s="72" t="str">
        <f aca="false">IF(OR(U443=0,N443=""), "", O443*ROUND(U443,0))</f>
        <v/>
      </c>
      <c r="X443" s="99" t="str">
        <f aca="false">IF(AND(N443="", U443&lt;&gt;""),"?",IF(AND(W443&lt;&gt;0,W443&lt;&gt;""), "р.", ""))</f>
        <v/>
      </c>
      <c r="Y443" s="70" t="str">
        <f aca="false">IF(AND(S443&gt;0,U443&gt;0), S443*ROUND(U443,0) / 1000, "")</f>
        <v/>
      </c>
      <c r="Z443" s="99" t="str">
        <f aca="false">IF(AND(Y443&lt;&gt;0,Y443&lt;&gt;""), "кг", "")</f>
        <v/>
      </c>
      <c r="AA443" s="10"/>
    </row>
    <row r="444" customFormat="false" ht="17.85" hidden="false" customHeight="true" outlineLevel="0" collapsed="false">
      <c r="B444" s="61"/>
      <c r="C444" s="200" t="str">
        <f aca="false">HYPERLINK("http://www.emi-penza.ru/p/46.3787-32-368-A-24-R", "46.3787-32-368-A-24-R")</f>
        <v>46.3787-32-368-A-24-R</v>
      </c>
      <c r="D444" s="63"/>
      <c r="E444" s="63" t="s">
        <v>602</v>
      </c>
      <c r="F444" s="63"/>
      <c r="G444" s="63" t="s">
        <v>603</v>
      </c>
      <c r="H444" s="63"/>
      <c r="I444" s="64"/>
      <c r="J444" s="64"/>
      <c r="K444" s="63"/>
      <c r="L444" s="63"/>
      <c r="M444" s="64" t="s">
        <v>601</v>
      </c>
      <c r="N444" s="65" t="n">
        <v>134</v>
      </c>
      <c r="O444" s="65" t="n">
        <f aca="false">ROUND(N444*1.2, 2)</f>
        <v>160.8</v>
      </c>
      <c r="R444" s="10"/>
      <c r="S444" s="66" t="n">
        <v>35</v>
      </c>
      <c r="T444" s="66"/>
      <c r="U444" s="67" t="n">
        <v>0</v>
      </c>
      <c r="V444" s="66"/>
      <c r="W444" s="72" t="str">
        <f aca="false">IF(OR(U444=0,N444=""), "", O444*ROUND(U444,0))</f>
        <v/>
      </c>
      <c r="X444" s="99" t="str">
        <f aca="false">IF(AND(N444="", U444&lt;&gt;""),"?",IF(AND(W444&lt;&gt;0,W444&lt;&gt;""), "р.", ""))</f>
        <v/>
      </c>
      <c r="Y444" s="70" t="str">
        <f aca="false">IF(AND(S444&gt;0,U444&gt;0), S444*ROUND(U444,0) / 1000, "")</f>
        <v/>
      </c>
      <c r="Z444" s="99" t="str">
        <f aca="false">IF(AND(Y444&lt;&gt;0,Y444&lt;&gt;""), "кг", "")</f>
        <v/>
      </c>
      <c r="AA444" s="10"/>
    </row>
    <row r="445" customFormat="false" ht="17.85" hidden="false" customHeight="true" outlineLevel="0" collapsed="false">
      <c r="B445" s="61"/>
      <c r="C445" s="200" t="str">
        <f aca="false">HYPERLINK("http://www.emi-penza.ru/p/64.3787-398-A-24", "64.3787-398-A-24")</f>
        <v>64.3787-398-A-24</v>
      </c>
      <c r="D445" s="63"/>
      <c r="E445" s="63" t="s">
        <v>604</v>
      </c>
      <c r="F445" s="63"/>
      <c r="G445" s="63" t="s">
        <v>605</v>
      </c>
      <c r="H445" s="63"/>
      <c r="I445" s="64"/>
      <c r="J445" s="64"/>
      <c r="K445" s="63"/>
      <c r="L445" s="63"/>
      <c r="M445" s="64" t="s">
        <v>495</v>
      </c>
      <c r="N445" s="65" t="n">
        <v>79</v>
      </c>
      <c r="O445" s="65" t="n">
        <f aca="false">ROUND(N445*1.2, 2)</f>
        <v>94.8</v>
      </c>
      <c r="R445" s="10"/>
      <c r="S445" s="66" t="n">
        <v>13</v>
      </c>
      <c r="T445" s="66"/>
      <c r="U445" s="67" t="n">
        <v>0</v>
      </c>
      <c r="V445" s="66"/>
      <c r="W445" s="72" t="str">
        <f aca="false">IF(OR(U445=0,N445=""), "", O445*ROUND(U445,0))</f>
        <v/>
      </c>
      <c r="X445" s="99" t="str">
        <f aca="false">IF(AND(N445="", U445&lt;&gt;""),"?",IF(AND(W445&lt;&gt;0,W445&lt;&gt;""), "р.", ""))</f>
        <v/>
      </c>
      <c r="Y445" s="70" t="str">
        <f aca="false">IF(AND(S445&gt;0,U445&gt;0), S445*ROUND(U445,0) / 1000, "")</f>
        <v/>
      </c>
      <c r="Z445" s="99" t="str">
        <f aca="false">IF(AND(Y445&lt;&gt;0,Y445&lt;&gt;""), "кг", "")</f>
        <v/>
      </c>
      <c r="AA445" s="10"/>
    </row>
    <row r="446" customFormat="false" ht="17.85" hidden="false" customHeight="true" outlineLevel="0" collapsed="false">
      <c r="B446" s="61"/>
      <c r="C446" s="200" t="str">
        <f aca="false">HYPERLINK("http://www.emi-penza.ru/p/64.3787-398-A-24-R", "64.3787-398-A-24-R")</f>
        <v>64.3787-398-A-24-R</v>
      </c>
      <c r="D446" s="63"/>
      <c r="E446" s="63" t="s">
        <v>606</v>
      </c>
      <c r="F446" s="63"/>
      <c r="G446" s="63" t="s">
        <v>607</v>
      </c>
      <c r="H446" s="63"/>
      <c r="I446" s="64"/>
      <c r="J446" s="64"/>
      <c r="K446" s="63"/>
      <c r="L446" s="63"/>
      <c r="M446" s="64" t="s">
        <v>495</v>
      </c>
      <c r="N446" s="65" t="n">
        <v>80</v>
      </c>
      <c r="O446" s="65" t="n">
        <f aca="false">ROUND(N446*1.2, 2)</f>
        <v>96</v>
      </c>
      <c r="R446" s="10"/>
      <c r="S446" s="66" t="n">
        <v>13</v>
      </c>
      <c r="T446" s="66"/>
      <c r="U446" s="67" t="n">
        <v>0</v>
      </c>
      <c r="V446" s="66"/>
      <c r="W446" s="72" t="str">
        <f aca="false">IF(OR(U446=0,N446=""), "", O446*ROUND(U446,0))</f>
        <v/>
      </c>
      <c r="X446" s="99" t="str">
        <f aca="false">IF(AND(N446="", U446&lt;&gt;""),"?",IF(AND(W446&lt;&gt;0,W446&lt;&gt;""), "р.", ""))</f>
        <v/>
      </c>
      <c r="Y446" s="70" t="str">
        <f aca="false">IF(AND(S446&gt;0,U446&gt;0), S446*ROUND(U446,0) / 1000, "")</f>
        <v/>
      </c>
      <c r="Z446" s="99" t="str">
        <f aca="false">IF(AND(Y446&lt;&gt;0,Y446&lt;&gt;""), "кг", "")</f>
        <v/>
      </c>
      <c r="AA446" s="10"/>
    </row>
    <row r="447" customFormat="false" ht="17.85" hidden="false" customHeight="true" outlineLevel="0" collapsed="false">
      <c r="B447" s="61"/>
      <c r="C447" s="200" t="str">
        <f aca="false">HYPERLINK("http://www.emi-penza.ru/p/64.3787-398-C-12-R", "64.3787-398-C-12-R")</f>
        <v>64.3787-398-C-12-R</v>
      </c>
      <c r="D447" s="63"/>
      <c r="E447" s="63" t="s">
        <v>608</v>
      </c>
      <c r="F447" s="63"/>
      <c r="G447" s="63" t="s">
        <v>609</v>
      </c>
      <c r="H447" s="63"/>
      <c r="I447" s="64"/>
      <c r="J447" s="64"/>
      <c r="K447" s="63"/>
      <c r="L447" s="63"/>
      <c r="M447" s="64" t="s">
        <v>610</v>
      </c>
      <c r="N447" s="65" t="n">
        <v>84</v>
      </c>
      <c r="O447" s="65" t="n">
        <f aca="false">ROUND(N447*1.2, 2)</f>
        <v>100.8</v>
      </c>
      <c r="R447" s="10"/>
      <c r="S447" s="66" t="n">
        <v>13</v>
      </c>
      <c r="T447" s="66"/>
      <c r="U447" s="67" t="n">
        <v>0</v>
      </c>
      <c r="V447" s="66"/>
      <c r="W447" s="72" t="str">
        <f aca="false">IF(OR(U447=0,N447=""), "", O447*ROUND(U447,0))</f>
        <v/>
      </c>
      <c r="X447" s="99" t="str">
        <f aca="false">IF(AND(N447="", U447&lt;&gt;""),"?",IF(AND(W447&lt;&gt;0,W447&lt;&gt;""), "р.", ""))</f>
        <v/>
      </c>
      <c r="Y447" s="70" t="str">
        <f aca="false">IF(AND(S447&gt;0,U447&gt;0), S447*ROUND(U447,0) / 1000, "")</f>
        <v/>
      </c>
      <c r="Z447" s="99" t="str">
        <f aca="false">IF(AND(Y447&lt;&gt;0,Y447&lt;&gt;""), "кг", "")</f>
        <v/>
      </c>
      <c r="AA447" s="10"/>
    </row>
    <row r="448" customFormat="false" ht="17.85" hidden="false" customHeight="true" outlineLevel="0" collapsed="false">
      <c r="B448" s="61"/>
      <c r="C448" s="200" t="str">
        <f aca="false">HYPERLINK("http://www.emi-penza.ru/p/64.3787-398-C-24", "64.3787-398-C-24")</f>
        <v>64.3787-398-C-24</v>
      </c>
      <c r="D448" s="63"/>
      <c r="E448" s="63" t="s">
        <v>611</v>
      </c>
      <c r="F448" s="63"/>
      <c r="G448" s="63" t="s">
        <v>600</v>
      </c>
      <c r="H448" s="63"/>
      <c r="I448" s="64"/>
      <c r="J448" s="64"/>
      <c r="K448" s="63"/>
      <c r="L448" s="63"/>
      <c r="M448" s="64" t="s">
        <v>495</v>
      </c>
      <c r="N448" s="65" t="n">
        <v>83</v>
      </c>
      <c r="O448" s="65" t="n">
        <f aca="false">ROUND(N448*1.2, 2)</f>
        <v>99.6</v>
      </c>
      <c r="R448" s="10"/>
      <c r="S448" s="66" t="n">
        <v>13</v>
      </c>
      <c r="T448" s="66"/>
      <c r="U448" s="67" t="n">
        <v>0</v>
      </c>
      <c r="V448" s="66"/>
      <c r="W448" s="72" t="str">
        <f aca="false">IF(OR(U448=0,N448=""), "", O448*ROUND(U448,0))</f>
        <v/>
      </c>
      <c r="X448" s="99" t="str">
        <f aca="false">IF(AND(N448="", U448&lt;&gt;""),"?",IF(AND(W448&lt;&gt;0,W448&lt;&gt;""), "р.", ""))</f>
        <v/>
      </c>
      <c r="Y448" s="70" t="str">
        <f aca="false">IF(AND(S448&gt;0,U448&gt;0), S448*ROUND(U448,0) / 1000, "")</f>
        <v/>
      </c>
      <c r="Z448" s="99" t="str">
        <f aca="false">IF(AND(Y448&lt;&gt;0,Y448&lt;&gt;""), "кг", "")</f>
        <v/>
      </c>
      <c r="AA448" s="10"/>
    </row>
    <row r="449" customFormat="false" ht="17.85" hidden="false" customHeight="true" outlineLevel="0" collapsed="false">
      <c r="B449" s="61"/>
      <c r="C449" s="200" t="str">
        <f aca="false">HYPERLINK("http://www.emi-penza.ru/p/64.3787-398-C-24-R", "64.3787-398-C-24-R")</f>
        <v>64.3787-398-C-24-R</v>
      </c>
      <c r="D449" s="63"/>
      <c r="E449" s="63" t="s">
        <v>612</v>
      </c>
      <c r="F449" s="63"/>
      <c r="G449" s="63" t="s">
        <v>609</v>
      </c>
      <c r="H449" s="63"/>
      <c r="I449" s="64"/>
      <c r="J449" s="64"/>
      <c r="K449" s="63"/>
      <c r="L449" s="63"/>
      <c r="M449" s="64" t="s">
        <v>495</v>
      </c>
      <c r="N449" s="65" t="n">
        <v>84</v>
      </c>
      <c r="O449" s="65" t="n">
        <f aca="false">ROUND(N449*1.2, 2)</f>
        <v>100.8</v>
      </c>
      <c r="R449" s="10"/>
      <c r="S449" s="66" t="n">
        <v>13</v>
      </c>
      <c r="T449" s="66"/>
      <c r="U449" s="67" t="n">
        <v>0</v>
      </c>
      <c r="V449" s="66"/>
      <c r="W449" s="72" t="str">
        <f aca="false">IF(OR(U449=0,N449=""), "", O449*ROUND(U449,0))</f>
        <v/>
      </c>
      <c r="X449" s="99" t="str">
        <f aca="false">IF(AND(N449="", U449&lt;&gt;""),"?",IF(AND(W449&lt;&gt;0,W449&lt;&gt;""), "р.", ""))</f>
        <v/>
      </c>
      <c r="Y449" s="70" t="str">
        <f aca="false">IF(AND(S449&gt;0,U449&gt;0), S449*ROUND(U449,0) / 1000, "")</f>
        <v/>
      </c>
      <c r="Z449" s="99" t="str">
        <f aca="false">IF(AND(Y449&lt;&gt;0,Y449&lt;&gt;""), "кг", "")</f>
        <v/>
      </c>
      <c r="AA449" s="10"/>
    </row>
    <row r="450" customFormat="false" ht="17.85" hidden="false" customHeight="true" outlineLevel="0" collapsed="false">
      <c r="B450" s="61"/>
      <c r="C450" s="200" t="str">
        <f aca="false">HYPERLINK("http://www.emi-penza.ru/p/67.3787-309-A-24-R", "67.3787-309-A-24-R")</f>
        <v>67.3787-309-A-24-R</v>
      </c>
      <c r="D450" s="63"/>
      <c r="E450" s="63" t="s">
        <v>613</v>
      </c>
      <c r="F450" s="63"/>
      <c r="G450" s="63" t="s">
        <v>607</v>
      </c>
      <c r="H450" s="63"/>
      <c r="I450" s="64"/>
      <c r="J450" s="64"/>
      <c r="K450" s="63"/>
      <c r="L450" s="63"/>
      <c r="M450" s="64" t="s">
        <v>495</v>
      </c>
      <c r="N450" s="65" t="n">
        <v>87</v>
      </c>
      <c r="O450" s="65" t="n">
        <f aca="false">ROUND(N450*1.2, 2)</f>
        <v>104.4</v>
      </c>
      <c r="R450" s="10"/>
      <c r="S450" s="66" t="n">
        <v>33</v>
      </c>
      <c r="T450" s="66"/>
      <c r="U450" s="67" t="n">
        <v>0</v>
      </c>
      <c r="V450" s="66"/>
      <c r="W450" s="72" t="str">
        <f aca="false">IF(OR(U450=0,N450=""), "", O450*ROUND(U450,0))</f>
        <v/>
      </c>
      <c r="X450" s="99" t="str">
        <f aca="false">IF(AND(N450="", U450&lt;&gt;""),"?",IF(AND(W450&lt;&gt;0,W450&lt;&gt;""), "р.", ""))</f>
        <v/>
      </c>
      <c r="Y450" s="70" t="str">
        <f aca="false">IF(AND(S450&gt;0,U450&gt;0), S450*ROUND(U450,0) / 1000, "")</f>
        <v/>
      </c>
      <c r="Z450" s="99" t="str">
        <f aca="false">IF(AND(Y450&lt;&gt;0,Y450&lt;&gt;""), "кг", "")</f>
        <v/>
      </c>
      <c r="AA450" s="10"/>
    </row>
    <row r="451" customFormat="false" ht="17.85" hidden="false" customHeight="true" outlineLevel="0" collapsed="false">
      <c r="B451" s="61"/>
      <c r="C451" s="200" t="str">
        <f aca="false">HYPERLINK("http://www.emi-penza.ru/p/67.3787-309-C-24", "67.3787-309-C-24")</f>
        <v>67.3787-309-C-24</v>
      </c>
      <c r="D451" s="63"/>
      <c r="E451" s="63" t="s">
        <v>614</v>
      </c>
      <c r="F451" s="63"/>
      <c r="G451" s="63" t="s">
        <v>615</v>
      </c>
      <c r="H451" s="63"/>
      <c r="I451" s="64"/>
      <c r="J451" s="64"/>
      <c r="K451" s="63"/>
      <c r="L451" s="63"/>
      <c r="M451" s="64" t="s">
        <v>616</v>
      </c>
      <c r="N451" s="65" t="n">
        <v>91</v>
      </c>
      <c r="O451" s="65" t="n">
        <f aca="false">ROUND(N451*1.2, 2)</f>
        <v>109.2</v>
      </c>
      <c r="R451" s="10"/>
      <c r="S451" s="66" t="n">
        <v>33</v>
      </c>
      <c r="T451" s="66"/>
      <c r="U451" s="67" t="n">
        <v>0</v>
      </c>
      <c r="V451" s="66"/>
      <c r="W451" s="72" t="str">
        <f aca="false">IF(OR(U451=0,N451=""), "", O451*ROUND(U451,0))</f>
        <v/>
      </c>
      <c r="X451" s="99" t="str">
        <f aca="false">IF(AND(N451="", U451&lt;&gt;""),"?",IF(AND(W451&lt;&gt;0,W451&lt;&gt;""), "р.", ""))</f>
        <v/>
      </c>
      <c r="Y451" s="70" t="str">
        <f aca="false">IF(AND(S451&gt;0,U451&gt;0), S451*ROUND(U451,0) / 1000, "")</f>
        <v/>
      </c>
      <c r="Z451" s="99" t="str">
        <f aca="false">IF(AND(Y451&lt;&gt;0,Y451&lt;&gt;""), "кг", "")</f>
        <v/>
      </c>
      <c r="AA451" s="10"/>
    </row>
    <row r="452" customFormat="false" ht="17.85" hidden="false" customHeight="true" outlineLevel="0" collapsed="false">
      <c r="B452" s="61"/>
      <c r="C452" s="200" t="str">
        <f aca="false">HYPERLINK("http://www.emi-penza.ru/p/67.3787-309-C-24-R", "67.3787-309-C-24-R")</f>
        <v>67.3787-309-C-24-R</v>
      </c>
      <c r="D452" s="63"/>
      <c r="E452" s="63" t="s">
        <v>617</v>
      </c>
      <c r="F452" s="63"/>
      <c r="G452" s="63" t="s">
        <v>609</v>
      </c>
      <c r="H452" s="63"/>
      <c r="I452" s="64"/>
      <c r="J452" s="64"/>
      <c r="K452" s="63"/>
      <c r="L452" s="63"/>
      <c r="M452" s="64" t="s">
        <v>616</v>
      </c>
      <c r="N452" s="65" t="n">
        <v>92</v>
      </c>
      <c r="O452" s="65" t="n">
        <f aca="false">ROUND(N452*1.2, 2)</f>
        <v>110.4</v>
      </c>
      <c r="R452" s="10"/>
      <c r="S452" s="66" t="n">
        <v>33</v>
      </c>
      <c r="T452" s="66"/>
      <c r="U452" s="67" t="n">
        <v>0</v>
      </c>
      <c r="V452" s="66"/>
      <c r="W452" s="72" t="str">
        <f aca="false">IF(OR(U452=0,N452=""), "", O452*ROUND(U452,0))</f>
        <v/>
      </c>
      <c r="X452" s="99" t="str">
        <f aca="false">IF(AND(N452="", U452&lt;&gt;""),"?",IF(AND(W452&lt;&gt;0,W452&lt;&gt;""), "р.", ""))</f>
        <v/>
      </c>
      <c r="Y452" s="70" t="str">
        <f aca="false">IF(AND(S452&gt;0,U452&gt;0), S452*ROUND(U452,0) / 1000, "")</f>
        <v/>
      </c>
      <c r="Z452" s="99" t="str">
        <f aca="false">IF(AND(Y452&lt;&gt;0,Y452&lt;&gt;""), "кг", "")</f>
        <v/>
      </c>
      <c r="AA452" s="10"/>
    </row>
    <row r="453" customFormat="false" ht="17.85" hidden="false" customHeight="true" outlineLevel="0" collapsed="false">
      <c r="B453" s="61"/>
      <c r="C453" s="200" t="str">
        <f aca="false">HYPERLINK("http://www.emi-penza.ru/p/98.3777-314-A-24", "98.3777-314-A-24")</f>
        <v>98.3777-314-A-24</v>
      </c>
      <c r="D453" s="63"/>
      <c r="E453" s="63" t="s">
        <v>618</v>
      </c>
      <c r="F453" s="63"/>
      <c r="G453" s="63" t="s">
        <v>619</v>
      </c>
      <c r="H453" s="63"/>
      <c r="I453" s="64"/>
      <c r="J453" s="64"/>
      <c r="K453" s="63"/>
      <c r="L453" s="63"/>
      <c r="M453" s="64" t="s">
        <v>620</v>
      </c>
      <c r="N453" s="65" t="n">
        <v>91</v>
      </c>
      <c r="O453" s="65" t="n">
        <f aca="false">ROUND(N453*1.2, 2)</f>
        <v>109.2</v>
      </c>
      <c r="R453" s="10"/>
      <c r="S453" s="66" t="n">
        <v>33</v>
      </c>
      <c r="T453" s="66"/>
      <c r="U453" s="67" t="n">
        <v>0</v>
      </c>
      <c r="V453" s="66"/>
      <c r="W453" s="72" t="str">
        <f aca="false">IF(OR(U453=0,N453=""), "", O453*ROUND(U453,0))</f>
        <v/>
      </c>
      <c r="X453" s="99" t="str">
        <f aca="false">IF(AND(N453="", U453&lt;&gt;""),"?",IF(AND(W453&lt;&gt;0,W453&lt;&gt;""), "р.", ""))</f>
        <v/>
      </c>
      <c r="Y453" s="70" t="str">
        <f aca="false">IF(AND(S453&gt;0,U453&gt;0), S453*ROUND(U453,0) / 1000, "")</f>
        <v/>
      </c>
      <c r="Z453" s="99" t="str">
        <f aca="false">IF(AND(Y453&lt;&gt;0,Y453&lt;&gt;""), "кг", "")</f>
        <v/>
      </c>
      <c r="AA453" s="10"/>
    </row>
    <row r="454" customFormat="false" ht="17.85" hidden="false" customHeight="true" outlineLevel="0" collapsed="false">
      <c r="B454" s="61"/>
      <c r="C454" s="200" t="str">
        <f aca="false">HYPERLINK("http://www.emi-penza.ru/p/98.3777-314-A-24-D", "98.3777-314-A-24-D")</f>
        <v>98.3777-314-A-24-D</v>
      </c>
      <c r="D454" s="63"/>
      <c r="E454" s="63" t="s">
        <v>621</v>
      </c>
      <c r="F454" s="63"/>
      <c r="G454" s="63" t="s">
        <v>622</v>
      </c>
      <c r="H454" s="63"/>
      <c r="I454" s="64"/>
      <c r="J454" s="64"/>
      <c r="K454" s="63"/>
      <c r="L454" s="63"/>
      <c r="M454" s="64" t="s">
        <v>620</v>
      </c>
      <c r="N454" s="65" t="n">
        <v>97</v>
      </c>
      <c r="O454" s="65" t="n">
        <f aca="false">ROUND(N454*1.2, 2)</f>
        <v>116.4</v>
      </c>
      <c r="R454" s="10"/>
      <c r="S454" s="66" t="n">
        <v>33</v>
      </c>
      <c r="T454" s="66"/>
      <c r="U454" s="67" t="n">
        <v>0</v>
      </c>
      <c r="V454" s="66"/>
      <c r="W454" s="72" t="str">
        <f aca="false">IF(OR(U454=0,N454=""), "", O454*ROUND(U454,0))</f>
        <v/>
      </c>
      <c r="X454" s="99" t="str">
        <f aca="false">IF(AND(N454="", U454&lt;&gt;""),"?",IF(AND(W454&lt;&gt;0,W454&lt;&gt;""), "р.", ""))</f>
        <v/>
      </c>
      <c r="Y454" s="70" t="str">
        <f aca="false">IF(AND(S454&gt;0,U454&gt;0), S454*ROUND(U454,0) / 1000, "")</f>
        <v/>
      </c>
      <c r="Z454" s="99" t="str">
        <f aca="false">IF(AND(Y454&lt;&gt;0,Y454&lt;&gt;""), "кг", "")</f>
        <v/>
      </c>
      <c r="AA454" s="10"/>
    </row>
    <row r="455" customFormat="false" ht="17.85" hidden="false" customHeight="true" outlineLevel="0" collapsed="false">
      <c r="B455" s="61"/>
      <c r="C455" s="200" t="str">
        <f aca="false">HYPERLINK("http://www.emi-penza.ru/p/98.3777-314-C-24", "98.3777-314-C-24")</f>
        <v>98.3777-314-C-24</v>
      </c>
      <c r="D455" s="63"/>
      <c r="E455" s="63" t="s">
        <v>623</v>
      </c>
      <c r="F455" s="63"/>
      <c r="G455" s="63" t="s">
        <v>624</v>
      </c>
      <c r="H455" s="63"/>
      <c r="I455" s="64"/>
      <c r="J455" s="64"/>
      <c r="K455" s="63"/>
      <c r="L455" s="63"/>
      <c r="M455" s="64" t="s">
        <v>620</v>
      </c>
      <c r="N455" s="65" t="n">
        <v>97</v>
      </c>
      <c r="O455" s="65" t="n">
        <f aca="false">ROUND(N455*1.2, 2)</f>
        <v>116.4</v>
      </c>
      <c r="R455" s="10"/>
      <c r="S455" s="66" t="n">
        <v>33</v>
      </c>
      <c r="T455" s="66"/>
      <c r="U455" s="67" t="n">
        <v>0</v>
      </c>
      <c r="V455" s="66"/>
      <c r="W455" s="72" t="str">
        <f aca="false">IF(OR(U455=0,N455=""), "", O455*ROUND(U455,0))</f>
        <v/>
      </c>
      <c r="X455" s="99" t="str">
        <f aca="false">IF(AND(N455="", U455&lt;&gt;""),"?",IF(AND(W455&lt;&gt;0,W455&lt;&gt;""), "р.", ""))</f>
        <v/>
      </c>
      <c r="Y455" s="70" t="str">
        <f aca="false">IF(AND(S455&gt;0,U455&gt;0), S455*ROUND(U455,0) / 1000, "")</f>
        <v/>
      </c>
      <c r="Z455" s="99" t="str">
        <f aca="false">IF(AND(Y455&lt;&gt;0,Y455&lt;&gt;""), "кг", "")</f>
        <v/>
      </c>
      <c r="AA455" s="10"/>
    </row>
    <row r="456" customFormat="false" ht="17.85" hidden="false" customHeight="true" outlineLevel="0" collapsed="false">
      <c r="B456" s="61"/>
      <c r="C456" s="200" t="str">
        <f aca="false">HYPERLINK("http://www.emi-penza.ru/p/98.3777-314-C-24-D", "98.3777-314-C-24-D")</f>
        <v>98.3777-314-C-24-D</v>
      </c>
      <c r="D456" s="63"/>
      <c r="E456" s="63" t="s">
        <v>625</v>
      </c>
      <c r="F456" s="63"/>
      <c r="G456" s="63" t="s">
        <v>626</v>
      </c>
      <c r="H456" s="63"/>
      <c r="I456" s="64"/>
      <c r="J456" s="64"/>
      <c r="K456" s="63"/>
      <c r="L456" s="63"/>
      <c r="M456" s="64" t="s">
        <v>620</v>
      </c>
      <c r="N456" s="65" t="n">
        <v>101</v>
      </c>
      <c r="O456" s="65" t="n">
        <f aca="false">ROUND(N456*1.2, 2)</f>
        <v>121.2</v>
      </c>
      <c r="R456" s="10"/>
      <c r="S456" s="66" t="n">
        <v>33</v>
      </c>
      <c r="T456" s="66"/>
      <c r="U456" s="67" t="n">
        <v>0</v>
      </c>
      <c r="V456" s="66"/>
      <c r="W456" s="72" t="str">
        <f aca="false">IF(OR(U456=0,N456=""), "", O456*ROUND(U456,0))</f>
        <v/>
      </c>
      <c r="X456" s="99" t="str">
        <f aca="false">IF(AND(N456="", U456&lt;&gt;""),"?",IF(AND(W456&lt;&gt;0,W456&lt;&gt;""), "р.", ""))</f>
        <v/>
      </c>
      <c r="Y456" s="70" t="str">
        <f aca="false">IF(AND(S456&gt;0,U456&gt;0), S456*ROUND(U456,0) / 1000, "")</f>
        <v/>
      </c>
      <c r="Z456" s="99" t="str">
        <f aca="false">IF(AND(Y456&lt;&gt;0,Y456&lt;&gt;""), "кг", "")</f>
        <v/>
      </c>
      <c r="AA456" s="10"/>
    </row>
    <row r="457" customFormat="false" ht="17.85" hidden="false" customHeight="true" outlineLevel="0" collapsed="false">
      <c r="B457" s="61"/>
      <c r="C457" s="200" t="str">
        <f aca="false">HYPERLINK("http://www.emi-penza.ru/p/98.3777-314-C-24-R", "98.3777-314-C-24-R")</f>
        <v>98.3777-314-C-24-R</v>
      </c>
      <c r="D457" s="63"/>
      <c r="E457" s="63" t="s">
        <v>627</v>
      </c>
      <c r="F457" s="63"/>
      <c r="G457" s="63" t="s">
        <v>609</v>
      </c>
      <c r="H457" s="63"/>
      <c r="I457" s="64"/>
      <c r="J457" s="64"/>
      <c r="K457" s="63"/>
      <c r="L457" s="63"/>
      <c r="M457" s="64" t="s">
        <v>620</v>
      </c>
      <c r="N457" s="65" t="n">
        <v>98</v>
      </c>
      <c r="O457" s="65" t="n">
        <f aca="false">ROUND(N457*1.2, 2)</f>
        <v>117.6</v>
      </c>
      <c r="R457" s="10"/>
      <c r="S457" s="66" t="n">
        <v>33</v>
      </c>
      <c r="T457" s="66"/>
      <c r="U457" s="67" t="n">
        <v>0</v>
      </c>
      <c r="V457" s="66"/>
      <c r="W457" s="72" t="str">
        <f aca="false">IF(OR(U457=0,N457=""), "", O457*ROUND(U457,0))</f>
        <v/>
      </c>
      <c r="X457" s="99" t="str">
        <f aca="false">IF(AND(N457="", U457&lt;&gt;""),"?",IF(AND(W457&lt;&gt;0,W457&lt;&gt;""), "р.", ""))</f>
        <v/>
      </c>
      <c r="Y457" s="70" t="str">
        <f aca="false">IF(AND(S457&gt;0,U457&gt;0), S457*ROUND(U457,0) / 1000, "")</f>
        <v/>
      </c>
      <c r="Z457" s="99" t="str">
        <f aca="false">IF(AND(Y457&lt;&gt;0,Y457&lt;&gt;""), "кг", "")</f>
        <v/>
      </c>
      <c r="AA457" s="10"/>
    </row>
    <row r="458" customFormat="false" ht="17.85" hidden="false" customHeight="true" outlineLevel="0" collapsed="false">
      <c r="B458" s="61"/>
      <c r="C458" s="200" t="str">
        <f aca="false">HYPERLINK("http://www.emi-penza.ru/p/98.3777-315-C-12", "98.3777-315-C-12")</f>
        <v>98.3777-315-C-12</v>
      </c>
      <c r="D458" s="63"/>
      <c r="E458" s="63" t="s">
        <v>628</v>
      </c>
      <c r="F458" s="63"/>
      <c r="G458" s="63" t="s">
        <v>600</v>
      </c>
      <c r="H458" s="63"/>
      <c r="I458" s="64"/>
      <c r="J458" s="64"/>
      <c r="K458" s="63"/>
      <c r="L458" s="63"/>
      <c r="M458" s="64" t="s">
        <v>629</v>
      </c>
      <c r="N458" s="65" t="n">
        <v>94</v>
      </c>
      <c r="O458" s="65" t="n">
        <f aca="false">ROUND(N458*1.2, 2)</f>
        <v>112.8</v>
      </c>
      <c r="R458" s="10"/>
      <c r="S458" s="66" t="n">
        <v>33</v>
      </c>
      <c r="T458" s="66"/>
      <c r="U458" s="67" t="n">
        <v>0</v>
      </c>
      <c r="V458" s="66"/>
      <c r="W458" s="72" t="str">
        <f aca="false">IF(OR(U458=0,N458=""), "", O458*ROUND(U458,0))</f>
        <v/>
      </c>
      <c r="X458" s="99" t="str">
        <f aca="false">IF(AND(N458="", U458&lt;&gt;""),"?",IF(AND(W458&lt;&gt;0,W458&lt;&gt;""), "р.", ""))</f>
        <v/>
      </c>
      <c r="Y458" s="70" t="str">
        <f aca="false">IF(AND(S458&gt;0,U458&gt;0), S458*ROUND(U458,0) / 1000, "")</f>
        <v/>
      </c>
      <c r="Z458" s="99" t="str">
        <f aca="false">IF(AND(Y458&lt;&gt;0,Y458&lt;&gt;""), "кг", "")</f>
        <v/>
      </c>
      <c r="AA458" s="10"/>
    </row>
    <row r="459" customFormat="false" ht="17.85" hidden="false" customHeight="true" outlineLevel="0" collapsed="false">
      <c r="B459" s="59"/>
      <c r="C459" s="201" t="str">
        <f aca="false">HYPERLINK("http://www.emi-penza.ru/p/98.3777-315-C-24", "98.3777-315-C-24")</f>
        <v>98.3777-315-C-24</v>
      </c>
      <c r="D459" s="128"/>
      <c r="E459" s="128" t="s">
        <v>630</v>
      </c>
      <c r="F459" s="128"/>
      <c r="G459" s="128" t="s">
        <v>600</v>
      </c>
      <c r="H459" s="128"/>
      <c r="I459" s="129"/>
      <c r="J459" s="129"/>
      <c r="K459" s="128"/>
      <c r="L459" s="128"/>
      <c r="M459" s="129" t="s">
        <v>542</v>
      </c>
      <c r="N459" s="130" t="n">
        <v>93</v>
      </c>
      <c r="O459" s="130" t="n">
        <f aca="false">ROUND(N459*1.2, 2)</f>
        <v>111.6</v>
      </c>
      <c r="R459" s="10"/>
      <c r="S459" s="131" t="n">
        <v>33</v>
      </c>
      <c r="T459" s="131"/>
      <c r="U459" s="132" t="n">
        <v>0</v>
      </c>
      <c r="V459" s="131"/>
      <c r="W459" s="133" t="str">
        <f aca="false">IF(OR(U459=0,N459=""), "", O459*ROUND(U459,0))</f>
        <v/>
      </c>
      <c r="X459" s="134" t="str">
        <f aca="false">IF(AND(N459="", U459&lt;&gt;""),"?",IF(AND(W459&lt;&gt;0,W459&lt;&gt;""), "р.", ""))</f>
        <v/>
      </c>
      <c r="Y459" s="135" t="str">
        <f aca="false">IF(AND(S459&gt;0,U459&gt;0), S459*ROUND(U459,0) / 1000, "")</f>
        <v/>
      </c>
      <c r="Z459" s="134" t="str">
        <f aca="false">IF(AND(Y459&lt;&gt;0,Y459&lt;&gt;""), "кг", "")</f>
        <v/>
      </c>
      <c r="AA459" s="10"/>
    </row>
    <row r="460" customFormat="false" ht="9.95" hidden="false" customHeight="true" outlineLevel="0" collapsed="false">
      <c r="B460" s="3"/>
      <c r="R460" s="10"/>
      <c r="S460" s="136"/>
      <c r="T460" s="136"/>
      <c r="U460" s="136"/>
      <c r="V460" s="136"/>
      <c r="W460" s="136" t="str">
        <f aca="false">IF(OR(U460=0,N460=""), "", O460*ROUND(U460,0))</f>
        <v/>
      </c>
      <c r="X460" s="136" t="str">
        <f aca="false">IF(AND(N460="", U460&lt;&gt;""),"?",IF(AND(W460&lt;&gt;0,W460&lt;&gt;""), "р.", ""))</f>
        <v/>
      </c>
      <c r="Y460" s="136" t="str">
        <f aca="false">IF(AND(S460&gt;0,U460&gt;0), S460*ROUND(U460,0) / 1000, "")</f>
        <v/>
      </c>
      <c r="Z460" s="136" t="str">
        <f aca="false">IF(AND(Y460&lt;&gt;0,Y460&lt;&gt;""), "кг", "")</f>
        <v/>
      </c>
      <c r="AA460" s="136"/>
    </row>
    <row r="461" customFormat="false" ht="22.7" hidden="false" customHeight="true" outlineLevel="0" collapsed="false">
      <c r="B461" s="3"/>
      <c r="C461" s="51" t="s">
        <v>631</v>
      </c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3"/>
      <c r="O461" s="53"/>
      <c r="R461" s="10"/>
      <c r="S461" s="138"/>
      <c r="T461" s="138"/>
      <c r="U461" s="139"/>
      <c r="V461" s="138"/>
      <c r="W461" s="140" t="str">
        <f aca="false">IF(OR(U461=0,N461=""), "", O461*ROUND(U461,0))</f>
        <v/>
      </c>
      <c r="X461" s="141" t="str">
        <f aca="false">IF(AND(N461="", U461&lt;&gt;""),"?",IF(AND(W461&lt;&gt;0,W461&lt;&gt;""), "р.", ""))</f>
        <v/>
      </c>
      <c r="Y461" s="142" t="str">
        <f aca="false">IF(AND(S461&gt;0,U461&gt;0), S461*ROUND(U461,0) / 1000, "")</f>
        <v/>
      </c>
      <c r="Z461" s="141" t="str">
        <f aca="false">IF(AND(Y461&lt;&gt;0,Y461&lt;&gt;""), "кг", "")</f>
        <v/>
      </c>
      <c r="AA461" s="10"/>
    </row>
    <row r="462" customFormat="false" ht="2.85" hidden="false" customHeight="true" outlineLevel="0" collapsed="false">
      <c r="B462" s="3"/>
      <c r="R462" s="10"/>
      <c r="S462" s="136"/>
      <c r="T462" s="136"/>
      <c r="U462" s="137"/>
      <c r="V462" s="136"/>
      <c r="W462" s="12" t="str">
        <f aca="false">IF(OR(U462=0,N462=""), "", O462*ROUND(U462,0))</f>
        <v/>
      </c>
      <c r="X462" s="143" t="str">
        <f aca="false">IF(AND(N462="", U462&lt;&gt;""),"?",IF(AND(W462&lt;&gt;0,W462&lt;&gt;""), "р.", ""))</f>
        <v/>
      </c>
      <c r="Y462" s="14" t="str">
        <f aca="false">IF(AND(S462&gt;0,U462&gt;0), S462*ROUND(U462,0) / 1000, "")</f>
        <v/>
      </c>
      <c r="Z462" s="143" t="str">
        <f aca="false">IF(AND(Y462&lt;&gt;0,Y462&lt;&gt;""), "кг", "")</f>
        <v/>
      </c>
      <c r="AA462" s="10"/>
    </row>
    <row r="463" customFormat="false" ht="17.85" hidden="false" customHeight="true" outlineLevel="0" collapsed="false">
      <c r="B463" s="59"/>
      <c r="C463" s="62" t="str">
        <f aca="false">HYPERLINK("http://www.emi-penza.ru/p/601/", "ЭМИ 113.3.000")</f>
        <v>ЭМИ 113.3.000</v>
      </c>
      <c r="D463" s="63"/>
      <c r="E463" s="63" t="s">
        <v>632</v>
      </c>
      <c r="F463" s="63"/>
      <c r="G463" s="63" t="s">
        <v>633</v>
      </c>
      <c r="H463" s="63"/>
      <c r="I463" s="64"/>
      <c r="J463" s="64"/>
      <c r="K463" s="63"/>
      <c r="L463" s="63"/>
      <c r="M463" s="64" t="s">
        <v>634</v>
      </c>
      <c r="N463" s="65" t="n">
        <v>39.15</v>
      </c>
      <c r="O463" s="65" t="n">
        <f aca="false">ROUND(N463*1.2, 2)</f>
        <v>46.98</v>
      </c>
      <c r="R463" s="10"/>
      <c r="S463" s="66" t="n">
        <v>7</v>
      </c>
      <c r="T463" s="66"/>
      <c r="U463" s="67" t="n">
        <v>0</v>
      </c>
      <c r="V463" s="66"/>
      <c r="W463" s="72" t="str">
        <f aca="false">IF(OR(U463=0,N463=""), "", O463*ROUND(U463,0))</f>
        <v/>
      </c>
      <c r="X463" s="99" t="str">
        <f aca="false">IF(AND(N463="", U463&lt;&gt;""),"?",IF(AND(W463&lt;&gt;0,W463&lt;&gt;""), "р.", ""))</f>
        <v/>
      </c>
      <c r="Y463" s="70" t="str">
        <f aca="false">IF(AND(S463&gt;0,U463&gt;0), S463*ROUND(U463,0) / 1000, "")</f>
        <v/>
      </c>
      <c r="Z463" s="99" t="str">
        <f aca="false">IF(AND(Y463&lt;&gt;0,Y463&lt;&gt;""), "кг", "")</f>
        <v/>
      </c>
      <c r="AA463" s="10"/>
    </row>
    <row r="464" customFormat="false" ht="17.85" hidden="false" customHeight="true" outlineLevel="0" collapsed="false">
      <c r="B464" s="59"/>
      <c r="C464" s="62" t="str">
        <f aca="false">HYPERLINK("http://www.emi-penza.ru/p/602/", "ЭМИ 113.3.000-01")</f>
        <v>ЭМИ 113.3.000-01</v>
      </c>
      <c r="D464" s="63"/>
      <c r="E464" s="63" t="s">
        <v>632</v>
      </c>
      <c r="F464" s="63"/>
      <c r="G464" s="63" t="s">
        <v>635</v>
      </c>
      <c r="H464" s="63"/>
      <c r="I464" s="64"/>
      <c r="J464" s="64"/>
      <c r="K464" s="63"/>
      <c r="L464" s="63"/>
      <c r="M464" s="64" t="s">
        <v>636</v>
      </c>
      <c r="N464" s="65" t="n">
        <v>40.15</v>
      </c>
      <c r="O464" s="65" t="n">
        <f aca="false">ROUND(N464*1.2, 2)</f>
        <v>48.18</v>
      </c>
      <c r="R464" s="10"/>
      <c r="S464" s="66" t="n">
        <v>7</v>
      </c>
      <c r="T464" s="66"/>
      <c r="U464" s="67" t="n">
        <v>0</v>
      </c>
      <c r="V464" s="66"/>
      <c r="W464" s="72" t="str">
        <f aca="false">IF(OR(U464=0,N464=""), "", O464*ROUND(U464,0))</f>
        <v/>
      </c>
      <c r="X464" s="99" t="str">
        <f aca="false">IF(AND(N464="", U464&lt;&gt;""),"?",IF(AND(W464&lt;&gt;0,W464&lt;&gt;""), "р.", ""))</f>
        <v/>
      </c>
      <c r="Y464" s="70" t="str">
        <f aca="false">IF(AND(S464&gt;0,U464&gt;0), S464*ROUND(U464,0) / 1000, "")</f>
        <v/>
      </c>
      <c r="Z464" s="99" t="str">
        <f aca="false">IF(AND(Y464&lt;&gt;0,Y464&lt;&gt;""), "кг", "")</f>
        <v/>
      </c>
      <c r="AA464" s="10"/>
    </row>
    <row r="465" customFormat="false" ht="17.85" hidden="false" customHeight="true" outlineLevel="0" collapsed="false">
      <c r="B465" s="59"/>
      <c r="C465" s="62" t="str">
        <f aca="false">HYPERLINK("http://www.emi-penza.ru/p/603/", "ЭМИ 113.3.000-02")</f>
        <v>ЭМИ 113.3.000-02</v>
      </c>
      <c r="D465" s="63"/>
      <c r="E465" s="63" t="s">
        <v>637</v>
      </c>
      <c r="F465" s="63"/>
      <c r="G465" s="63" t="s">
        <v>633</v>
      </c>
      <c r="H465" s="63"/>
      <c r="I465" s="64"/>
      <c r="J465" s="64"/>
      <c r="K465" s="63"/>
      <c r="L465" s="63"/>
      <c r="M465" s="64" t="s">
        <v>638</v>
      </c>
      <c r="N465" s="65" t="n">
        <v>39.15</v>
      </c>
      <c r="O465" s="65" t="n">
        <f aca="false">ROUND(N465*1.2, 2)</f>
        <v>46.98</v>
      </c>
      <c r="R465" s="10"/>
      <c r="S465" s="66" t="n">
        <v>7</v>
      </c>
      <c r="T465" s="66"/>
      <c r="U465" s="67" t="n">
        <v>0</v>
      </c>
      <c r="V465" s="66"/>
      <c r="W465" s="72" t="str">
        <f aca="false">IF(OR(U465=0,N465=""), "", O465*ROUND(U465,0))</f>
        <v/>
      </c>
      <c r="X465" s="99" t="str">
        <f aca="false">IF(AND(N465="", U465&lt;&gt;""),"?",IF(AND(W465&lt;&gt;0,W465&lt;&gt;""), "р.", ""))</f>
        <v/>
      </c>
      <c r="Y465" s="70" t="str">
        <f aca="false">IF(AND(S465&gt;0,U465&gt;0), S465*ROUND(U465,0) / 1000, "")</f>
        <v/>
      </c>
      <c r="Z465" s="99" t="str">
        <f aca="false">IF(AND(Y465&lt;&gt;0,Y465&lt;&gt;""), "кг", "")</f>
        <v/>
      </c>
      <c r="AA465" s="10"/>
    </row>
    <row r="466" customFormat="false" ht="17.85" hidden="false" customHeight="true" outlineLevel="0" collapsed="false">
      <c r="B466" s="59"/>
      <c r="C466" s="127" t="str">
        <f aca="false">HYPERLINK("http://www.emi-penza.ru/p/604/", "ЭМИ 113.3.000-03")</f>
        <v>ЭМИ 113.3.000-03</v>
      </c>
      <c r="D466" s="128"/>
      <c r="E466" s="128" t="s">
        <v>637</v>
      </c>
      <c r="F466" s="128"/>
      <c r="G466" s="128" t="s">
        <v>635</v>
      </c>
      <c r="H466" s="128"/>
      <c r="I466" s="129"/>
      <c r="J466" s="129"/>
      <c r="K466" s="128"/>
      <c r="L466" s="128"/>
      <c r="M466" s="129" t="s">
        <v>639</v>
      </c>
      <c r="N466" s="130" t="n">
        <v>40.15</v>
      </c>
      <c r="O466" s="130" t="n">
        <f aca="false">ROUND(N466*1.2, 2)</f>
        <v>48.18</v>
      </c>
      <c r="R466" s="10"/>
      <c r="S466" s="131" t="n">
        <v>7</v>
      </c>
      <c r="T466" s="131"/>
      <c r="U466" s="132" t="n">
        <v>0</v>
      </c>
      <c r="V466" s="131"/>
      <c r="W466" s="133" t="str">
        <f aca="false">IF(OR(U466=0,N466=""), "", O466*ROUND(U466,0))</f>
        <v/>
      </c>
      <c r="X466" s="134" t="str">
        <f aca="false">IF(AND(N466="", U466&lt;&gt;""),"?",IF(AND(W466&lt;&gt;0,W466&lt;&gt;""), "р.", ""))</f>
        <v/>
      </c>
      <c r="Y466" s="135" t="str">
        <f aca="false">IF(AND(S466&gt;0,U466&gt;0), S466*ROUND(U466,0) / 1000, "")</f>
        <v/>
      </c>
      <c r="Z466" s="134" t="str">
        <f aca="false">IF(AND(Y466&lt;&gt;0,Y466&lt;&gt;""), "кг", "")</f>
        <v/>
      </c>
      <c r="AA466" s="10"/>
    </row>
    <row r="467" customFormat="false" ht="5.1" hidden="false" customHeight="true" outlineLevel="0" collapsed="false">
      <c r="B467" s="3"/>
      <c r="M467" s="3"/>
      <c r="R467" s="10"/>
      <c r="S467" s="136"/>
      <c r="T467" s="136"/>
      <c r="U467" s="137"/>
      <c r="V467" s="136"/>
      <c r="W467" s="12" t="str">
        <f aca="false">IF(OR(U467=0,N467=""), "", O467*ROUND(U467,0))</f>
        <v/>
      </c>
      <c r="X467" s="189" t="str">
        <f aca="false">IF(AND(N467="", U467&lt;&gt;""),"?",IF(AND(W467&lt;&gt;0,W467&lt;&gt;""), "р.", ""))</f>
        <v/>
      </c>
      <c r="Y467" s="14" t="str">
        <f aca="false">IF(AND(S467&gt;0,U467&gt;0), S467*ROUND(U467,0) / 1000, "")</f>
        <v/>
      </c>
      <c r="Z467" s="189" t="str">
        <f aca="false">IF(AND(Y467&lt;&gt;0,Y467&lt;&gt;""), "кг", "")</f>
        <v/>
      </c>
      <c r="AA467" s="10"/>
    </row>
    <row r="468" customFormat="false" ht="17.85" hidden="false" customHeight="true" outlineLevel="0" collapsed="false">
      <c r="B468" s="59"/>
      <c r="C468" s="62" t="str">
        <f aca="false">HYPERLINK("http://www.emi-penza.ru/p/605/", "ЭМИ 57.3.000-02")</f>
        <v>ЭМИ 57.3.000-02</v>
      </c>
      <c r="D468" s="63"/>
      <c r="E468" s="63"/>
      <c r="F468" s="63"/>
      <c r="G468" s="63" t="s">
        <v>635</v>
      </c>
      <c r="H468" s="63"/>
      <c r="I468" s="64"/>
      <c r="J468" s="64"/>
      <c r="K468" s="63"/>
      <c r="L468" s="63"/>
      <c r="M468" s="64" t="s">
        <v>640</v>
      </c>
      <c r="N468" s="65" t="n">
        <v>41.15</v>
      </c>
      <c r="O468" s="65" t="n">
        <f aca="false">ROUND(N468*1.2, 2)</f>
        <v>49.38</v>
      </c>
      <c r="R468" s="10"/>
      <c r="S468" s="66" t="n">
        <v>13</v>
      </c>
      <c r="T468" s="66"/>
      <c r="U468" s="67" t="n">
        <v>0</v>
      </c>
      <c r="V468" s="66"/>
      <c r="W468" s="72" t="str">
        <f aca="false">IF(OR(U468=0,N468=""), "", O468*ROUND(U468,0))</f>
        <v/>
      </c>
      <c r="X468" s="99" t="str">
        <f aca="false">IF(AND(N468="", U468&lt;&gt;""),"?",IF(AND(W468&lt;&gt;0,W468&lt;&gt;""), "р.", ""))</f>
        <v/>
      </c>
      <c r="Y468" s="70" t="str">
        <f aca="false">IF(AND(S468&gt;0,U468&gt;0), S468*ROUND(U468,0) / 1000, "")</f>
        <v/>
      </c>
      <c r="Z468" s="99" t="str">
        <f aca="false">IF(AND(Y468&lt;&gt;0,Y468&lt;&gt;""), "кг", "")</f>
        <v/>
      </c>
      <c r="AA468" s="10"/>
    </row>
    <row r="469" customFormat="false" ht="17.85" hidden="false" customHeight="true" outlineLevel="0" collapsed="false">
      <c r="B469" s="59"/>
      <c r="C469" s="62" t="str">
        <f aca="false">HYPERLINK("http://www.emi-penza.ru/p/606/", "ЭМИ 57.3.000-03")</f>
        <v>ЭМИ 57.3.000-03</v>
      </c>
      <c r="D469" s="63"/>
      <c r="E469" s="63"/>
      <c r="F469" s="63"/>
      <c r="G469" s="63" t="s">
        <v>635</v>
      </c>
      <c r="H469" s="63"/>
      <c r="I469" s="64"/>
      <c r="J469" s="64"/>
      <c r="K469" s="63"/>
      <c r="L469" s="63"/>
      <c r="M469" s="64" t="s">
        <v>641</v>
      </c>
      <c r="N469" s="65" t="n">
        <v>41.65</v>
      </c>
      <c r="O469" s="65" t="n">
        <f aca="false">ROUND(N469*1.2, 2)</f>
        <v>49.98</v>
      </c>
      <c r="R469" s="10"/>
      <c r="S469" s="66" t="n">
        <v>14</v>
      </c>
      <c r="T469" s="66"/>
      <c r="U469" s="67" t="n">
        <v>0</v>
      </c>
      <c r="V469" s="66"/>
      <c r="W469" s="72" t="str">
        <f aca="false">IF(OR(U469=0,N469=""), "", O469*ROUND(U469,0))</f>
        <v/>
      </c>
      <c r="X469" s="99" t="str">
        <f aca="false">IF(AND(N469="", U469&lt;&gt;""),"?",IF(AND(W469&lt;&gt;0,W469&lt;&gt;""), "р.", ""))</f>
        <v/>
      </c>
      <c r="Y469" s="70" t="str">
        <f aca="false">IF(AND(S469&gt;0,U469&gt;0), S469*ROUND(U469,0) / 1000, "")</f>
        <v/>
      </c>
      <c r="Z469" s="99" t="str">
        <f aca="false">IF(AND(Y469&lt;&gt;0,Y469&lt;&gt;""), "кг", "")</f>
        <v/>
      </c>
      <c r="AA469" s="10"/>
    </row>
    <row r="470" customFormat="false" ht="17.85" hidden="false" customHeight="true" outlineLevel="0" collapsed="false">
      <c r="B470" s="59"/>
      <c r="C470" s="62" t="str">
        <f aca="false">HYPERLINK("http://www.emi-penza.ru/p/607/", "ЭМИ 57.3.000-07")</f>
        <v>ЭМИ 57.3.000-07</v>
      </c>
      <c r="D470" s="63"/>
      <c r="E470" s="63"/>
      <c r="F470" s="63"/>
      <c r="G470" s="63" t="s">
        <v>633</v>
      </c>
      <c r="H470" s="63"/>
      <c r="I470" s="64"/>
      <c r="J470" s="64"/>
      <c r="K470" s="63"/>
      <c r="L470" s="63"/>
      <c r="M470" s="64" t="s">
        <v>642</v>
      </c>
      <c r="N470" s="65" t="n">
        <v>40.65</v>
      </c>
      <c r="O470" s="65" t="n">
        <f aca="false">ROUND(N470*1.2, 2)</f>
        <v>48.78</v>
      </c>
      <c r="R470" s="10"/>
      <c r="S470" s="66" t="n">
        <v>14</v>
      </c>
      <c r="T470" s="66"/>
      <c r="U470" s="67" t="n">
        <v>0</v>
      </c>
      <c r="V470" s="66"/>
      <c r="W470" s="72" t="str">
        <f aca="false">IF(OR(U470=0,N470=""), "", O470*ROUND(U470,0))</f>
        <v/>
      </c>
      <c r="X470" s="99" t="str">
        <f aca="false">IF(AND(N470="", U470&lt;&gt;""),"?",IF(AND(W470&lt;&gt;0,W470&lt;&gt;""), "р.", ""))</f>
        <v/>
      </c>
      <c r="Y470" s="70" t="str">
        <f aca="false">IF(AND(S470&gt;0,U470&gt;0), S470*ROUND(U470,0) / 1000, "")</f>
        <v/>
      </c>
      <c r="Z470" s="99" t="str">
        <f aca="false">IF(AND(Y470&lt;&gt;0,Y470&lt;&gt;""), "кг", "")</f>
        <v/>
      </c>
      <c r="AA470" s="10"/>
    </row>
    <row r="471" customFormat="false" ht="17.85" hidden="false" customHeight="true" outlineLevel="0" collapsed="false">
      <c r="B471" s="59"/>
      <c r="C471" s="127" t="str">
        <f aca="false">HYPERLINK("http://www.emi-penza.ru/p/608/", "ЭМИ 57.3.000-09")</f>
        <v>ЭМИ 57.3.000-09</v>
      </c>
      <c r="D471" s="128"/>
      <c r="E471" s="128"/>
      <c r="F471" s="128"/>
      <c r="G471" s="128" t="s">
        <v>633</v>
      </c>
      <c r="H471" s="128"/>
      <c r="I471" s="129"/>
      <c r="J471" s="129"/>
      <c r="K471" s="128"/>
      <c r="L471" s="128"/>
      <c r="M471" s="129" t="s">
        <v>643</v>
      </c>
      <c r="N471" s="130" t="n">
        <v>41.15</v>
      </c>
      <c r="O471" s="130" t="n">
        <f aca="false">ROUND(N471*1.2, 2)</f>
        <v>49.38</v>
      </c>
      <c r="R471" s="10"/>
      <c r="S471" s="131" t="n">
        <v>12</v>
      </c>
      <c r="T471" s="131"/>
      <c r="U471" s="132" t="n">
        <v>0</v>
      </c>
      <c r="V471" s="131"/>
      <c r="W471" s="133" t="str">
        <f aca="false">IF(OR(U471=0,N471=""), "", O471*ROUND(U471,0))</f>
        <v/>
      </c>
      <c r="X471" s="134" t="str">
        <f aca="false">IF(AND(N471="", U471&lt;&gt;""),"?",IF(AND(W471&lt;&gt;0,W471&lt;&gt;""), "р.", ""))</f>
        <v/>
      </c>
      <c r="Y471" s="135" t="str">
        <f aca="false">IF(AND(S471&gt;0,U471&gt;0), S471*ROUND(U471,0) / 1000, "")</f>
        <v/>
      </c>
      <c r="Z471" s="134" t="str">
        <f aca="false">IF(AND(Y471&lt;&gt;0,Y471&lt;&gt;""), "кг", "")</f>
        <v/>
      </c>
      <c r="AA471" s="10"/>
    </row>
    <row r="472" customFormat="false" ht="5.1" hidden="false" customHeight="true" outlineLevel="0" collapsed="false">
      <c r="B472" s="3"/>
      <c r="M472" s="3"/>
      <c r="R472" s="10"/>
      <c r="S472" s="136"/>
      <c r="T472" s="136"/>
      <c r="U472" s="137"/>
      <c r="V472" s="136"/>
      <c r="W472" s="12"/>
      <c r="X472" s="189"/>
      <c r="Y472" s="14"/>
      <c r="Z472" s="189"/>
      <c r="AA472" s="10"/>
    </row>
    <row r="473" customFormat="false" ht="17.85" hidden="false" customHeight="true" outlineLevel="0" collapsed="false">
      <c r="B473" s="59"/>
      <c r="C473" s="62" t="str">
        <f aca="false">HYPERLINK("https://www.emi-penza.ru/p/67_671", "серия 67 и 671 (замыкающие)")</f>
        <v>серия 67 и 671 (замыкающие)</v>
      </c>
      <c r="D473" s="63"/>
      <c r="E473" s="63"/>
      <c r="F473" s="63"/>
      <c r="G473" s="63" t="s">
        <v>644</v>
      </c>
      <c r="H473" s="63"/>
      <c r="I473" s="64"/>
      <c r="J473" s="64"/>
      <c r="K473" s="63"/>
      <c r="L473" s="63"/>
      <c r="M473" s="64" t="s">
        <v>645</v>
      </c>
      <c r="N473" s="126" t="s">
        <v>646</v>
      </c>
      <c r="O473" s="126"/>
      <c r="R473" s="10"/>
      <c r="S473" s="66"/>
      <c r="T473" s="66"/>
      <c r="U473" s="67"/>
      <c r="V473" s="66"/>
      <c r="W473" s="72"/>
      <c r="X473" s="99"/>
      <c r="Y473" s="70"/>
      <c r="Z473" s="99"/>
      <c r="AA473" s="10"/>
    </row>
    <row r="474" customFormat="false" ht="17.85" hidden="false" customHeight="true" outlineLevel="0" collapsed="false">
      <c r="B474" s="61"/>
      <c r="C474" s="127" t="str">
        <f aca="false">HYPERLINK("https://www.emi-penza.ru/p/67_671_2", "серия 67 и 671 (переключающие)")</f>
        <v>серия 67 и 671 (переключающие)</v>
      </c>
      <c r="D474" s="128"/>
      <c r="E474" s="128"/>
      <c r="F474" s="128"/>
      <c r="G474" s="128" t="s">
        <v>647</v>
      </c>
      <c r="H474" s="128"/>
      <c r="I474" s="129"/>
      <c r="J474" s="129"/>
      <c r="K474" s="128"/>
      <c r="L474" s="128"/>
      <c r="M474" s="129" t="s">
        <v>645</v>
      </c>
      <c r="N474" s="202" t="s">
        <v>648</v>
      </c>
      <c r="O474" s="202"/>
      <c r="R474" s="10"/>
      <c r="S474" s="136"/>
      <c r="T474" s="136"/>
      <c r="U474" s="136"/>
      <c r="V474" s="136"/>
      <c r="W474" s="136"/>
      <c r="X474" s="136"/>
      <c r="Y474" s="136"/>
      <c r="Z474" s="136"/>
      <c r="AA474" s="136"/>
    </row>
    <row r="475" customFormat="false" ht="9.95" hidden="false" customHeight="true" outlineLevel="0" collapsed="false">
      <c r="B475" s="3"/>
      <c r="R475" s="10"/>
      <c r="S475" s="136"/>
      <c r="T475" s="136"/>
      <c r="U475" s="136"/>
      <c r="V475" s="136"/>
      <c r="W475" s="136" t="str">
        <f aca="false">IF(OR(U475=0,N475=""), "", O475*ROUND(U475,0))</f>
        <v/>
      </c>
      <c r="X475" s="136" t="str">
        <f aca="false">IF(AND(N475="", U475&lt;&gt;""),"?",IF(AND(W475&lt;&gt;0,W475&lt;&gt;""), "р.", ""))</f>
        <v/>
      </c>
      <c r="Y475" s="136" t="str">
        <f aca="false">IF(AND(S475&gt;0,U475&gt;0), S475*ROUND(U475,0) / 1000, "")</f>
        <v/>
      </c>
      <c r="Z475" s="136" t="str">
        <f aca="false">IF(AND(Y475&lt;&gt;0,Y475&lt;&gt;""), "кг", "")</f>
        <v/>
      </c>
      <c r="AA475" s="136"/>
    </row>
    <row r="476" customFormat="false" ht="22.7" hidden="false" customHeight="true" outlineLevel="0" collapsed="false">
      <c r="B476" s="3"/>
      <c r="C476" s="51" t="s">
        <v>649</v>
      </c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3"/>
      <c r="O476" s="53"/>
      <c r="R476" s="10"/>
      <c r="S476" s="136"/>
      <c r="T476" s="136"/>
      <c r="U476" s="136"/>
      <c r="V476" s="136"/>
      <c r="W476" s="136" t="str">
        <f aca="false">IF(OR(U476=0,N476=""), "", O476*ROUND(U476,0))</f>
        <v/>
      </c>
      <c r="X476" s="136" t="str">
        <f aca="false">IF(AND(N476="", U476&lt;&gt;""),"?",IF(AND(W476&lt;&gt;0,W476&lt;&gt;""), "р.", ""))</f>
        <v/>
      </c>
      <c r="Y476" s="136" t="str">
        <f aca="false">IF(AND(S476&gt;0,U476&gt;0), S476*ROUND(U476,0) / 1000, "")</f>
        <v/>
      </c>
      <c r="Z476" s="136" t="str">
        <f aca="false">IF(AND(Y476&lt;&gt;0,Y476&lt;&gt;""), "кг", "")</f>
        <v/>
      </c>
      <c r="AA476" s="136"/>
    </row>
    <row r="477" customFormat="false" ht="2.85" hidden="false" customHeight="true" outlineLevel="0" collapsed="false">
      <c r="B477" s="3"/>
      <c r="R477" s="10"/>
      <c r="S477" s="136"/>
      <c r="T477" s="136"/>
      <c r="U477" s="137"/>
      <c r="V477" s="136"/>
      <c r="W477" s="12" t="str">
        <f aca="false">IF(OR(U477=0,N477=""), "", O477*ROUND(U477,0))</f>
        <v/>
      </c>
      <c r="X477" s="143" t="str">
        <f aca="false">IF(AND(N477="", U477&lt;&gt;""),"?",IF(AND(W477&lt;&gt;0,W477&lt;&gt;""), "р.", ""))</f>
        <v/>
      </c>
      <c r="Y477" s="14" t="str">
        <f aca="false">IF(AND(S477&gt;0,U477&gt;0), S477*ROUND(U477,0) / 1000, "")</f>
        <v/>
      </c>
      <c r="Z477" s="143" t="str">
        <f aca="false">IF(AND(Y477&lt;&gt;0,Y477&lt;&gt;""), "кг", "")</f>
        <v/>
      </c>
      <c r="AA477" s="10"/>
    </row>
    <row r="478" customFormat="false" ht="14.15" hidden="false" customHeight="true" outlineLevel="0" collapsed="false">
      <c r="B478" s="173"/>
      <c r="C478" s="74" t="str">
        <f aca="false">HYPERLINK("http://www.emi-penza.ru/p/401/", "71.9.000")</f>
        <v>71.9.000</v>
      </c>
      <c r="D478" s="75"/>
      <c r="E478" s="75"/>
      <c r="F478" s="75"/>
      <c r="G478" s="75" t="s">
        <v>650</v>
      </c>
      <c r="H478" s="75"/>
      <c r="I478" s="76"/>
      <c r="J478" s="76"/>
      <c r="K478" s="75" t="s">
        <v>651</v>
      </c>
      <c r="L478" s="75"/>
      <c r="M478" s="75"/>
      <c r="N478" s="77" t="n">
        <v>27</v>
      </c>
      <c r="O478" s="77" t="n">
        <f aca="false">ROUND(N478*1.2, 2)</f>
        <v>32.4</v>
      </c>
      <c r="R478" s="10"/>
      <c r="S478" s="78" t="n">
        <v>10</v>
      </c>
      <c r="T478" s="78"/>
      <c r="U478" s="79" t="n">
        <v>0</v>
      </c>
      <c r="V478" s="78"/>
      <c r="W478" s="80" t="str">
        <f aca="false">IF(OR(U478=0,N478=""), "", O478*ROUND(U478,0))</f>
        <v/>
      </c>
      <c r="X478" s="100" t="str">
        <f aca="false">IF(AND(N478="", U478&lt;&gt;""),"?",IF(AND(W478&lt;&gt;0,W478&lt;&gt;""), "р.", ""))</f>
        <v/>
      </c>
      <c r="Y478" s="82" t="str">
        <f aca="false">IF(AND(S478&gt;0,U478&gt;0), S478*ROUND(U478,0) / 1000, "")</f>
        <v/>
      </c>
      <c r="Z478" s="100" t="str">
        <f aca="false">IF(AND(Y478&lt;&gt;0,Y478&lt;&gt;""), "кг", "")</f>
        <v/>
      </c>
      <c r="AA478" s="10"/>
    </row>
    <row r="479" customFormat="false" ht="15" hidden="false" customHeight="true" outlineLevel="0" collapsed="false">
      <c r="B479" s="3"/>
      <c r="C479" s="85"/>
      <c r="D479" s="86"/>
      <c r="E479" s="86"/>
      <c r="F479" s="86"/>
      <c r="G479" s="86" t="s">
        <v>652</v>
      </c>
      <c r="H479" s="86"/>
      <c r="I479" s="87"/>
      <c r="J479" s="87"/>
      <c r="K479" s="86"/>
      <c r="L479" s="86"/>
      <c r="M479" s="171" t="s">
        <v>653</v>
      </c>
      <c r="N479" s="88" t="n">
        <v>35</v>
      </c>
      <c r="O479" s="88" t="n">
        <f aca="false">ROUND(N479*1.2, 2)</f>
        <v>42</v>
      </c>
      <c r="R479" s="10"/>
      <c r="S479" s="89" t="n">
        <v>14</v>
      </c>
      <c r="T479" s="89"/>
      <c r="U479" s="90" t="n">
        <v>0</v>
      </c>
      <c r="V479" s="89"/>
      <c r="W479" s="91" t="str">
        <f aca="false">IF(OR(U479=0,N479=""), "", O479*ROUND(U479,0))</f>
        <v/>
      </c>
      <c r="X479" s="101" t="str">
        <f aca="false">IF(AND(N479="", U479&lt;&gt;""),"?",IF(AND(W479&lt;&gt;0,W479&lt;&gt;""), "р.", ""))</f>
        <v/>
      </c>
      <c r="Y479" s="93" t="str">
        <f aca="false">IF(AND(S479&gt;0,U479&gt;0), S479*ROUND(U479,0) / 1000, "")</f>
        <v/>
      </c>
      <c r="Z479" s="101" t="str">
        <f aca="false">IF(AND(Y479&lt;&gt;0,Y479&lt;&gt;""), "кг", "")</f>
        <v/>
      </c>
      <c r="AA479" s="10"/>
    </row>
    <row r="480" customFormat="false" ht="14.15" hidden="false" customHeight="true" outlineLevel="0" collapsed="false">
      <c r="B480" s="173"/>
      <c r="C480" s="74" t="str">
        <f aca="false">HYPERLINK("http://www.emi-penza.ru/p/402/", "71.9.000-01")</f>
        <v>71.9.000-01</v>
      </c>
      <c r="D480" s="75"/>
      <c r="E480" s="75"/>
      <c r="F480" s="75"/>
      <c r="G480" s="75" t="s">
        <v>654</v>
      </c>
      <c r="H480" s="75"/>
      <c r="I480" s="76"/>
      <c r="J480" s="76"/>
      <c r="K480" s="75" t="s">
        <v>651</v>
      </c>
      <c r="L480" s="75"/>
      <c r="M480" s="75"/>
      <c r="N480" s="77" t="n">
        <v>37</v>
      </c>
      <c r="O480" s="77" t="n">
        <f aca="false">ROUND(N480*1.2, 2)</f>
        <v>44.4</v>
      </c>
      <c r="R480" s="10"/>
      <c r="S480" s="78" t="n">
        <v>18</v>
      </c>
      <c r="T480" s="78"/>
      <c r="U480" s="79" t="n">
        <v>0</v>
      </c>
      <c r="V480" s="78"/>
      <c r="W480" s="80" t="str">
        <f aca="false">IF(OR(U480=0,N480=""), "", O480*ROUND(U480,0))</f>
        <v/>
      </c>
      <c r="X480" s="100" t="str">
        <f aca="false">IF(AND(N480="", U480&lt;&gt;""),"?",IF(AND(W480&lt;&gt;0,W480&lt;&gt;""), "р.", ""))</f>
        <v/>
      </c>
      <c r="Y480" s="82" t="str">
        <f aca="false">IF(AND(S480&gt;0,U480&gt;0), S480*ROUND(U480,0) / 1000, "")</f>
        <v/>
      </c>
      <c r="Z480" s="100" t="str">
        <f aca="false">IF(AND(Y480&lt;&gt;0,Y480&lt;&gt;""), "кг", "")</f>
        <v/>
      </c>
      <c r="AA480" s="10"/>
    </row>
    <row r="481" customFormat="false" ht="15" hidden="false" customHeight="true" outlineLevel="0" collapsed="false">
      <c r="B481" s="3"/>
      <c r="C481" s="85"/>
      <c r="D481" s="86"/>
      <c r="E481" s="86"/>
      <c r="F481" s="86"/>
      <c r="G481" s="86" t="s">
        <v>652</v>
      </c>
      <c r="H481" s="86"/>
      <c r="I481" s="87"/>
      <c r="J481" s="87"/>
      <c r="K481" s="86"/>
      <c r="L481" s="86"/>
      <c r="M481" s="171" t="s">
        <v>653</v>
      </c>
      <c r="N481" s="88" t="n">
        <v>45</v>
      </c>
      <c r="O481" s="88" t="n">
        <f aca="false">ROUND(N481*1.2, 2)</f>
        <v>54</v>
      </c>
      <c r="R481" s="10"/>
      <c r="S481" s="89" t="n">
        <v>22</v>
      </c>
      <c r="T481" s="89"/>
      <c r="U481" s="90" t="n">
        <v>0</v>
      </c>
      <c r="V481" s="89"/>
      <c r="W481" s="91" t="str">
        <f aca="false">IF(OR(U481=0,N481=""), "", O481*ROUND(U481,0))</f>
        <v/>
      </c>
      <c r="X481" s="101" t="str">
        <f aca="false">IF(AND(N481="", U481&lt;&gt;""),"?",IF(AND(W481&lt;&gt;0,W481&lt;&gt;""), "р.", ""))</f>
        <v/>
      </c>
      <c r="Y481" s="93" t="str">
        <f aca="false">IF(AND(S481&gt;0,U481&gt;0), S481*ROUND(U481,0) / 1000, "")</f>
        <v/>
      </c>
      <c r="Z481" s="101" t="str">
        <f aca="false">IF(AND(Y481&lt;&gt;0,Y481&lt;&gt;""), "кг", "")</f>
        <v/>
      </c>
      <c r="AA481" s="10"/>
    </row>
    <row r="482" customFormat="false" ht="17.85" hidden="false" customHeight="true" outlineLevel="0" collapsed="false">
      <c r="B482" s="59"/>
      <c r="C482" s="62" t="str">
        <f aca="false">HYPERLINK("http://www.emi-penza.ru/p/405/", "Г222-10")</f>
        <v>Г222-10</v>
      </c>
      <c r="D482" s="63"/>
      <c r="E482" s="63"/>
      <c r="F482" s="63"/>
      <c r="G482" s="63" t="s">
        <v>655</v>
      </c>
      <c r="H482" s="63"/>
      <c r="I482" s="64"/>
      <c r="J482" s="64"/>
      <c r="K482" s="63" t="s">
        <v>656</v>
      </c>
      <c r="L482" s="63"/>
      <c r="M482" s="63"/>
      <c r="N482" s="65" t="n">
        <v>33</v>
      </c>
      <c r="O482" s="65" t="n">
        <f aca="false">ROUND(N482*1.2, 2)</f>
        <v>39.6</v>
      </c>
      <c r="R482" s="10"/>
      <c r="S482" s="66" t="n">
        <v>20</v>
      </c>
      <c r="T482" s="66"/>
      <c r="U482" s="67" t="n">
        <v>0</v>
      </c>
      <c r="V482" s="66"/>
      <c r="W482" s="72" t="str">
        <f aca="false">IF(OR(U482=0,N482=""), "", O482*ROUND(U482,0))</f>
        <v/>
      </c>
      <c r="X482" s="99" t="str">
        <f aca="false">IF(AND(N482="", U482&lt;&gt;""),"?",IF(AND(W482&lt;&gt;0,W482&lt;&gt;""), "р.", ""))</f>
        <v/>
      </c>
      <c r="Y482" s="70" t="str">
        <f aca="false">IF(AND(S482&gt;0,U482&gt;0), S482*ROUND(U482,0) / 1000, "")</f>
        <v/>
      </c>
      <c r="Z482" s="99" t="str">
        <f aca="false">IF(AND(Y482&lt;&gt;0,Y482&lt;&gt;""), "кг", "")</f>
        <v/>
      </c>
      <c r="AA482" s="10"/>
    </row>
    <row r="483" customFormat="false" ht="17.85" hidden="false" customHeight="true" outlineLevel="0" collapsed="false">
      <c r="B483" s="59"/>
      <c r="C483" s="62" t="str">
        <f aca="false">HYPERLINK("http://www.emi-penza.ru/p/407/", "Г222-11")</f>
        <v>Г222-11</v>
      </c>
      <c r="D483" s="63"/>
      <c r="E483" s="63"/>
      <c r="F483" s="63"/>
      <c r="G483" s="63" t="s">
        <v>655</v>
      </c>
      <c r="H483" s="63"/>
      <c r="I483" s="64"/>
      <c r="J483" s="64"/>
      <c r="K483" s="63" t="s">
        <v>657</v>
      </c>
      <c r="L483" s="63"/>
      <c r="M483" s="63"/>
      <c r="N483" s="65" t="n">
        <v>36</v>
      </c>
      <c r="O483" s="65" t="n">
        <f aca="false">ROUND(N483*1.2, 2)</f>
        <v>43.2</v>
      </c>
      <c r="R483" s="10"/>
      <c r="S483" s="131" t="n">
        <v>25</v>
      </c>
      <c r="T483" s="131"/>
      <c r="U483" s="132" t="n">
        <v>0</v>
      </c>
      <c r="V483" s="131"/>
      <c r="W483" s="133" t="str">
        <f aca="false">IF(OR(U483=0,N483=""), "", O483*ROUND(U483,0))</f>
        <v/>
      </c>
      <c r="X483" s="134" t="str">
        <f aca="false">IF(AND(N483="", U483&lt;&gt;""),"?",IF(AND(W483&lt;&gt;0,W483&lt;&gt;""), "р.", ""))</f>
        <v/>
      </c>
      <c r="Y483" s="135" t="str">
        <f aca="false">IF(AND(S483&gt;0,U483&gt;0), S483*ROUND(U483,0) / 1000, "")</f>
        <v/>
      </c>
      <c r="Z483" s="134" t="str">
        <f aca="false">IF(AND(Y483&lt;&gt;0,Y483&lt;&gt;""), "кг", "")</f>
        <v/>
      </c>
      <c r="AA483" s="10"/>
    </row>
    <row r="484" customFormat="false" ht="17.85" hidden="false" customHeight="true" outlineLevel="0" collapsed="false">
      <c r="B484" s="59"/>
      <c r="C484" s="62" t="str">
        <f aca="false">HYPERLINK("http://www.emi-penza.ru/p/404/", "заклёпки и контакты")</f>
        <v>заклёпки и контакты</v>
      </c>
      <c r="D484" s="63"/>
      <c r="E484" s="63"/>
      <c r="F484" s="63"/>
      <c r="G484" s="63" t="s">
        <v>658</v>
      </c>
      <c r="H484" s="63"/>
      <c r="I484" s="64"/>
      <c r="J484" s="64"/>
      <c r="K484" s="63"/>
      <c r="L484" s="63"/>
      <c r="M484" s="63"/>
      <c r="N484" s="65"/>
      <c r="O484" s="126" t="s">
        <v>659</v>
      </c>
      <c r="R484" s="10"/>
      <c r="S484" s="10"/>
      <c r="T484" s="10"/>
      <c r="U484" s="12"/>
      <c r="V484" s="10"/>
      <c r="W484" s="12"/>
      <c r="X484" s="13"/>
      <c r="Y484" s="14"/>
      <c r="Z484" s="15"/>
      <c r="AA484" s="10"/>
    </row>
    <row r="485" customFormat="false" ht="17.85" hidden="false" customHeight="true" outlineLevel="0" collapsed="false">
      <c r="B485" s="59"/>
      <c r="C485" s="62" t="str">
        <f aca="false">HYPERLINK("http://www.emi-penza.ru/p/410/", "кольца")</f>
        <v>кольца</v>
      </c>
      <c r="D485" s="63"/>
      <c r="E485" s="63"/>
      <c r="F485" s="63"/>
      <c r="G485" s="63" t="s">
        <v>660</v>
      </c>
      <c r="H485" s="63"/>
      <c r="I485" s="64"/>
      <c r="J485" s="64"/>
      <c r="K485" s="63"/>
      <c r="L485" s="63"/>
      <c r="M485" s="63"/>
      <c r="N485" s="65"/>
      <c r="O485" s="126" t="s">
        <v>659</v>
      </c>
      <c r="R485" s="10"/>
      <c r="S485" s="10"/>
      <c r="T485" s="10"/>
      <c r="U485" s="203" t="s">
        <v>193</v>
      </c>
      <c r="V485" s="168" t="s">
        <v>194</v>
      </c>
      <c r="W485" s="168"/>
      <c r="X485" s="168"/>
      <c r="Y485" s="168"/>
      <c r="Z485" s="168"/>
      <c r="AA485" s="15"/>
    </row>
    <row r="486" customFormat="false" ht="17.85" hidden="false" customHeight="true" outlineLevel="0" collapsed="false">
      <c r="B486" s="59"/>
      <c r="C486" s="62" t="str">
        <f aca="false">HYPERLINK("http://www.emi-penza.ru/p/408/", "пластмассовые корпуса")</f>
        <v>пластмассовые корпуса</v>
      </c>
      <c r="D486" s="63"/>
      <c r="E486" s="63"/>
      <c r="F486" s="63"/>
      <c r="G486" s="63" t="s">
        <v>661</v>
      </c>
      <c r="H486" s="63"/>
      <c r="I486" s="64"/>
      <c r="J486" s="64"/>
      <c r="K486" s="63"/>
      <c r="L486" s="63"/>
      <c r="M486" s="63"/>
      <c r="N486" s="65"/>
      <c r="O486" s="126" t="s">
        <v>659</v>
      </c>
      <c r="R486" s="10"/>
      <c r="S486" s="10"/>
      <c r="T486" s="10"/>
      <c r="U486" s="12"/>
      <c r="V486" s="168"/>
      <c r="W486" s="168"/>
      <c r="X486" s="168"/>
      <c r="Y486" s="168"/>
      <c r="Z486" s="168"/>
      <c r="AA486" s="15"/>
    </row>
    <row r="487" customFormat="false" ht="17.85" hidden="false" customHeight="true" outlineLevel="0" collapsed="false">
      <c r="B487" s="59"/>
      <c r="C487" s="62" t="str">
        <f aca="false">HYPERLINK("http://www.emi-penza.ru/p/411/", "поплавки")</f>
        <v>поплавки</v>
      </c>
      <c r="D487" s="63"/>
      <c r="E487" s="63"/>
      <c r="F487" s="63"/>
      <c r="G487" s="63" t="s">
        <v>662</v>
      </c>
      <c r="H487" s="63"/>
      <c r="I487" s="64"/>
      <c r="J487" s="64"/>
      <c r="K487" s="63" t="s">
        <v>663</v>
      </c>
      <c r="L487" s="63"/>
      <c r="M487" s="63"/>
      <c r="N487" s="65"/>
      <c r="O487" s="126" t="s">
        <v>659</v>
      </c>
      <c r="R487" s="10"/>
      <c r="S487" s="10"/>
      <c r="T487" s="10"/>
      <c r="U487" s="12"/>
      <c r="V487" s="168"/>
      <c r="W487" s="168"/>
      <c r="X487" s="168"/>
      <c r="Y487" s="168"/>
      <c r="Z487" s="168"/>
      <c r="AA487" s="15"/>
    </row>
    <row r="488" customFormat="false" ht="14.15" hidden="false" customHeight="true" outlineLevel="0" collapsed="false">
      <c r="B488" s="173"/>
      <c r="C488" s="74" t="str">
        <f aca="false">HYPERLINK("http://www.emi-penza.ru/p/403/", "пружины")</f>
        <v>пружины</v>
      </c>
      <c r="E488" s="75"/>
      <c r="F488" s="75"/>
      <c r="G488" s="75" t="s">
        <v>664</v>
      </c>
      <c r="H488" s="75"/>
      <c r="I488" s="76"/>
      <c r="J488" s="76"/>
      <c r="K488" s="75"/>
      <c r="L488" s="75"/>
      <c r="M488" s="75"/>
      <c r="N488" s="77"/>
      <c r="O488" s="167" t="s">
        <v>659</v>
      </c>
      <c r="R488" s="10"/>
      <c r="S488" s="78"/>
      <c r="T488" s="78"/>
      <c r="U488" s="12"/>
      <c r="V488" s="168"/>
      <c r="W488" s="168"/>
      <c r="X488" s="168"/>
      <c r="Y488" s="168"/>
      <c r="Z488" s="168"/>
      <c r="AA488" s="100"/>
    </row>
    <row r="489" customFormat="false" ht="15" hidden="false" customHeight="true" outlineLevel="0" collapsed="false">
      <c r="B489" s="3"/>
      <c r="C489" s="85"/>
      <c r="D489" s="86"/>
      <c r="E489" s="86"/>
      <c r="F489" s="86"/>
      <c r="G489" s="86" t="s">
        <v>665</v>
      </c>
      <c r="H489" s="86"/>
      <c r="I489" s="87"/>
      <c r="J489" s="87"/>
      <c r="K489" s="86"/>
      <c r="L489" s="86"/>
      <c r="M489" s="171"/>
      <c r="N489" s="88"/>
      <c r="O489" s="88"/>
      <c r="R489" s="10"/>
      <c r="S489" s="78"/>
      <c r="T489" s="78"/>
      <c r="U489" s="12"/>
      <c r="V489" s="168"/>
      <c r="W489" s="168"/>
      <c r="X489" s="168"/>
      <c r="Y489" s="168"/>
      <c r="Z489" s="168"/>
      <c r="AA489" s="124"/>
    </row>
    <row r="490" customFormat="false" ht="17.85" hidden="false" customHeight="true" outlineLevel="0" collapsed="false">
      <c r="B490" s="59"/>
      <c r="C490" s="127" t="str">
        <f aca="false">HYPERLINK("http://www.emi-penza.ru/p/409/", "тампонная печать")</f>
        <v>тампонная печать</v>
      </c>
      <c r="D490" s="128"/>
      <c r="E490" s="128"/>
      <c r="F490" s="128"/>
      <c r="G490" s="128" t="s">
        <v>666</v>
      </c>
      <c r="H490" s="128"/>
      <c r="I490" s="129"/>
      <c r="J490" s="129"/>
      <c r="K490" s="128"/>
      <c r="L490" s="128"/>
      <c r="M490" s="129"/>
      <c r="N490" s="130"/>
      <c r="O490" s="202" t="s">
        <v>659</v>
      </c>
      <c r="R490" s="10"/>
      <c r="S490" s="131"/>
      <c r="T490" s="131"/>
      <c r="U490" s="132"/>
      <c r="V490" s="131"/>
      <c r="W490" s="133"/>
      <c r="X490" s="134"/>
      <c r="Y490" s="135"/>
      <c r="Z490" s="134"/>
      <c r="AA490" s="10"/>
    </row>
    <row r="491" customFormat="false" ht="21.6" hidden="false" customHeight="true" outlineLevel="0" collapsed="false">
      <c r="B491" s="3"/>
    </row>
    <row r="492" customFormat="false" ht="22.7" hidden="false" customHeight="true" outlineLevel="0" collapsed="false">
      <c r="B492" s="204"/>
      <c r="C492" s="205" t="s">
        <v>667</v>
      </c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7"/>
      <c r="O492" s="207"/>
      <c r="P492" s="204"/>
    </row>
    <row r="493" customFormat="false" ht="2.85" hidden="false" customHeight="true" outlineLevel="0" collapsed="false">
      <c r="B493" s="204"/>
      <c r="C493" s="208"/>
      <c r="D493" s="204"/>
      <c r="E493" s="204"/>
      <c r="F493" s="204"/>
      <c r="G493" s="204"/>
      <c r="H493" s="204"/>
      <c r="I493" s="209"/>
      <c r="J493" s="209"/>
      <c r="K493" s="204"/>
      <c r="L493" s="204"/>
      <c r="M493" s="204"/>
      <c r="N493" s="210"/>
      <c r="O493" s="210"/>
      <c r="P493" s="204"/>
    </row>
    <row r="494" customFormat="false" ht="62.5" hidden="false" customHeight="true" outlineLevel="0" collapsed="false">
      <c r="B494" s="204"/>
      <c r="C494" s="211" t="s">
        <v>668</v>
      </c>
      <c r="D494" s="211"/>
      <c r="E494" s="211"/>
      <c r="F494" s="211"/>
      <c r="G494" s="211"/>
      <c r="H494" s="211"/>
      <c r="I494" s="211"/>
      <c r="J494" s="211"/>
      <c r="K494" s="211"/>
      <c r="L494" s="212"/>
      <c r="M494" s="212"/>
      <c r="N494" s="213"/>
      <c r="O494" s="213"/>
      <c r="P494" s="204"/>
    </row>
    <row r="495" customFormat="false" ht="14.05" hidden="false" customHeight="true" outlineLevel="0" collapsed="false">
      <c r="B495" s="204"/>
      <c r="C495" s="208" t="s">
        <v>669</v>
      </c>
      <c r="D495" s="212"/>
      <c r="E495" s="212"/>
      <c r="F495" s="212"/>
      <c r="G495" s="212"/>
      <c r="H495" s="212"/>
      <c r="I495" s="214"/>
      <c r="J495" s="214"/>
      <c r="K495" s="212"/>
      <c r="L495" s="212"/>
      <c r="M495" s="212"/>
      <c r="N495" s="213"/>
      <c r="O495" s="213"/>
      <c r="P495" s="204"/>
    </row>
    <row r="496" customFormat="false" ht="7.4" hidden="false" customHeight="true" outlineLevel="0" collapsed="false">
      <c r="B496" s="204"/>
      <c r="C496" s="208"/>
      <c r="D496" s="212"/>
      <c r="E496" s="212"/>
      <c r="F496" s="212"/>
      <c r="G496" s="212"/>
      <c r="H496" s="212"/>
      <c r="I496" s="214"/>
      <c r="J496" s="214"/>
      <c r="K496" s="212"/>
      <c r="L496" s="212"/>
      <c r="M496" s="212"/>
      <c r="N496" s="213"/>
      <c r="O496" s="215"/>
      <c r="P496" s="204"/>
    </row>
    <row r="497" customFormat="false" ht="42.5" hidden="false" customHeight="true" outlineLevel="0" collapsed="false">
      <c r="B497" s="3"/>
      <c r="C497" s="2" t="s">
        <v>670</v>
      </c>
      <c r="M497" s="216"/>
    </row>
    <row r="498" customFormat="false" ht="12.8" hidden="false" customHeight="false" outlineLevel="0" collapsed="false">
      <c r="B498" s="3"/>
      <c r="C498" s="2" t="s">
        <v>671</v>
      </c>
      <c r="O498" s="217"/>
    </row>
    <row r="499" customFormat="false" ht="15" hidden="false" customHeight="true" outlineLevel="0" collapsed="false">
      <c r="B499" s="3"/>
    </row>
    <row r="500" customFormat="false" ht="14.1" hidden="false" customHeight="true" outlineLevel="0" collapsed="false">
      <c r="B500" s="3"/>
      <c r="C500" s="218" t="str">
        <f aca="false">HYPERLINK("https://www.emi-penza.ru/products", "Каталог продукции на сайте ЭМИ")</f>
        <v>Каталог продукции на сайте ЭМИ</v>
      </c>
      <c r="D500" s="218"/>
      <c r="E500" s="218"/>
      <c r="F500" s="218"/>
      <c r="G500" s="218"/>
    </row>
    <row r="501" customFormat="false" ht="13.5" hidden="false" customHeight="true" outlineLevel="0" collapsed="false">
      <c r="B501" s="3"/>
    </row>
    <row r="502" customFormat="false" ht="12.8" hidden="false" customHeight="false" outlineLevel="0" collapsed="false">
      <c r="B502" s="3"/>
    </row>
    <row r="503" customFormat="false" ht="12.8" hidden="false" customHeight="false" outlineLevel="0" collapsed="false">
      <c r="B503" s="3"/>
    </row>
    <row r="504" customFormat="false" ht="12.8" hidden="false" customHeight="false" outlineLevel="0" collapsed="false">
      <c r="B504" s="3"/>
    </row>
    <row r="505" customFormat="false" ht="12.8" hidden="false" customHeight="false" outlineLevel="0" collapsed="false">
      <c r="B505" s="3"/>
    </row>
    <row r="506" customFormat="false" ht="12.8" hidden="false" customHeight="false" outlineLevel="0" collapsed="false">
      <c r="B506" s="3"/>
    </row>
    <row r="507" customFormat="false" ht="12.8" hidden="false" customHeight="false" outlineLevel="0" collapsed="false">
      <c r="B507" s="3"/>
    </row>
    <row r="508" customFormat="false" ht="12.8" hidden="false" customHeight="false" outlineLevel="0" collapsed="false">
      <c r="B508" s="3"/>
    </row>
    <row r="509" customFormat="false" ht="12.8" hidden="false" customHeight="false" outlineLevel="0" collapsed="false">
      <c r="B509" s="3"/>
    </row>
    <row r="510" customFormat="false" ht="12.8" hidden="false" customHeight="false" outlineLevel="0" collapsed="false">
      <c r="B510" s="3"/>
    </row>
    <row r="511" customFormat="false" ht="12.8" hidden="false" customHeight="false" outlineLevel="0" collapsed="false">
      <c r="B511" s="3"/>
    </row>
    <row r="512" customFormat="false" ht="12.8" hidden="false" customHeight="false" outlineLevel="0" collapsed="false">
      <c r="B512" s="3"/>
    </row>
    <row r="513" customFormat="false" ht="12.8" hidden="false" customHeight="false" outlineLevel="0" collapsed="false">
      <c r="B513" s="3"/>
    </row>
    <row r="514" customFormat="false" ht="12.8" hidden="false" customHeight="false" outlineLevel="0" collapsed="false">
      <c r="B514" s="3"/>
    </row>
    <row r="515" customFormat="false" ht="12.8" hidden="false" customHeight="false" outlineLevel="0" collapsed="false">
      <c r="B515" s="3"/>
    </row>
    <row r="516" customFormat="false" ht="12.8" hidden="false" customHeight="false" outlineLevel="0" collapsed="false">
      <c r="B516" s="3"/>
    </row>
    <row r="517" customFormat="false" ht="12.8" hidden="false" customHeight="false" outlineLevel="0" collapsed="false">
      <c r="B517" s="3"/>
    </row>
    <row r="518" customFormat="false" ht="12.8" hidden="false" customHeight="false" outlineLevel="0" collapsed="false">
      <c r="B518" s="3"/>
    </row>
    <row r="519" customFormat="false" ht="12.8" hidden="false" customHeight="false" outlineLevel="0" collapsed="false">
      <c r="B519" s="3"/>
    </row>
    <row r="520" customFormat="false" ht="12.8" hidden="false" customHeight="false" outlineLevel="0" collapsed="false">
      <c r="B520" s="3"/>
    </row>
    <row r="521" customFormat="false" ht="12.8" hidden="false" customHeight="false" outlineLevel="0" collapsed="false">
      <c r="B521" s="3"/>
    </row>
    <row r="522" customFormat="false" ht="12.8" hidden="false" customHeight="false" outlineLevel="0" collapsed="false">
      <c r="B522" s="3"/>
    </row>
    <row r="523" customFormat="false" ht="12.8" hidden="false" customHeight="false" outlineLevel="0" collapsed="false">
      <c r="B523" s="3"/>
    </row>
    <row r="524" customFormat="false" ht="12.8" hidden="false" customHeight="false" outlineLevel="0" collapsed="false">
      <c r="B524" s="3"/>
    </row>
    <row r="525" customFormat="false" ht="12.8" hidden="false" customHeight="false" outlineLevel="0" collapsed="false">
      <c r="B525" s="3"/>
    </row>
    <row r="526" customFormat="false" ht="12.8" hidden="false" customHeight="false" outlineLevel="0" collapsed="false">
      <c r="B526" s="3"/>
    </row>
    <row r="527" customFormat="false" ht="12.8" hidden="false" customHeight="false" outlineLevel="0" collapsed="false">
      <c r="B527" s="3"/>
    </row>
    <row r="528" customFormat="false" ht="12.8" hidden="false" customHeight="false" outlineLevel="0" collapsed="false">
      <c r="B528" s="3"/>
    </row>
    <row r="529" customFormat="false" ht="12.8" hidden="false" customHeight="false" outlineLevel="0" collapsed="false">
      <c r="B529" s="3"/>
    </row>
    <row r="530" customFormat="false" ht="12.8" hidden="false" customHeight="false" outlineLevel="0" collapsed="false">
      <c r="B530" s="3"/>
    </row>
    <row r="531" customFormat="false" ht="12.8" hidden="false" customHeight="false" outlineLevel="0" collapsed="false">
      <c r="B531" s="3"/>
    </row>
    <row r="532" customFormat="false" ht="12.8" hidden="false" customHeight="false" outlineLevel="0" collapsed="false">
      <c r="B532" s="3"/>
    </row>
    <row r="533" customFormat="false" ht="12.8" hidden="false" customHeight="false" outlineLevel="0" collapsed="false">
      <c r="B533" s="3"/>
    </row>
    <row r="534" customFormat="false" ht="12.8" hidden="false" customHeight="false" outlineLevel="0" collapsed="false">
      <c r="B534" s="3"/>
    </row>
    <row r="535" customFormat="false" ht="12.8" hidden="false" customHeight="false" outlineLevel="0" collapsed="false">
      <c r="B535" s="3"/>
    </row>
    <row r="536" customFormat="false" ht="12.8" hidden="false" customHeight="false" outlineLevel="0" collapsed="false">
      <c r="B536" s="3"/>
    </row>
    <row r="537" customFormat="false" ht="12.8" hidden="false" customHeight="false" outlineLevel="0" collapsed="false">
      <c r="B537" s="3"/>
    </row>
    <row r="538" customFormat="false" ht="12.8" hidden="false" customHeight="false" outlineLevel="0" collapsed="false">
      <c r="B538" s="3"/>
    </row>
    <row r="539" customFormat="false" ht="12.8" hidden="false" customHeight="false" outlineLevel="0" collapsed="false">
      <c r="B539" s="3"/>
    </row>
    <row r="540" customFormat="false" ht="12.8" hidden="false" customHeight="false" outlineLevel="0" collapsed="false">
      <c r="B540" s="3"/>
    </row>
    <row r="541" customFormat="false" ht="12.8" hidden="false" customHeight="false" outlineLevel="0" collapsed="false">
      <c r="B541" s="3"/>
    </row>
    <row r="542" customFormat="false" ht="12.8" hidden="false" customHeight="false" outlineLevel="0" collapsed="false">
      <c r="B542" s="3"/>
    </row>
    <row r="543" customFormat="false" ht="12.8" hidden="false" customHeight="false" outlineLevel="0" collapsed="false">
      <c r="B543" s="3"/>
    </row>
    <row r="544" customFormat="false" ht="12.8" hidden="false" customHeight="false" outlineLevel="0" collapsed="false">
      <c r="B544" s="3"/>
    </row>
    <row r="545" customFormat="false" ht="12.8" hidden="false" customHeight="false" outlineLevel="0" collapsed="false">
      <c r="B545" s="3"/>
    </row>
    <row r="546" customFormat="false" ht="12.8" hidden="false" customHeight="false" outlineLevel="0" collapsed="false">
      <c r="B546" s="3"/>
    </row>
    <row r="547" customFormat="false" ht="12.8" hidden="false" customHeight="false" outlineLevel="0" collapsed="false">
      <c r="B547" s="3"/>
    </row>
    <row r="548" customFormat="false" ht="12.8" hidden="false" customHeight="false" outlineLevel="0" collapsed="false">
      <c r="B548" s="3"/>
    </row>
    <row r="549" customFormat="false" ht="12.8" hidden="false" customHeight="false" outlineLevel="0" collapsed="false">
      <c r="B549" s="3"/>
    </row>
    <row r="550" customFormat="false" ht="12.8" hidden="false" customHeight="false" outlineLevel="0" collapsed="false">
      <c r="B550" s="3"/>
    </row>
    <row r="551" customFormat="false" ht="12.8" hidden="false" customHeight="false" outlineLevel="0" collapsed="false">
      <c r="B551" s="3"/>
    </row>
    <row r="552" customFormat="false" ht="12.8" hidden="false" customHeight="false" outlineLevel="0" collapsed="false">
      <c r="B552" s="3"/>
    </row>
    <row r="553" customFormat="false" ht="12.8" hidden="false" customHeight="false" outlineLevel="0" collapsed="false">
      <c r="B553" s="3"/>
    </row>
    <row r="554" customFormat="false" ht="12.8" hidden="false" customHeight="false" outlineLevel="0" collapsed="false">
      <c r="B554" s="3"/>
    </row>
    <row r="555" customFormat="false" ht="12.8" hidden="false" customHeight="false" outlineLevel="0" collapsed="false">
      <c r="B555" s="3"/>
    </row>
    <row r="556" customFormat="false" ht="12.8" hidden="false" customHeight="false" outlineLevel="0" collapsed="false">
      <c r="B556" s="3"/>
    </row>
    <row r="557" customFormat="false" ht="12.8" hidden="false" customHeight="false" outlineLevel="0" collapsed="false">
      <c r="B557" s="3"/>
    </row>
    <row r="558" customFormat="false" ht="12.8" hidden="false" customHeight="false" outlineLevel="0" collapsed="false">
      <c r="B558" s="3"/>
    </row>
    <row r="559" customFormat="false" ht="12.8" hidden="false" customHeight="false" outlineLevel="0" collapsed="false">
      <c r="B559" s="3"/>
    </row>
    <row r="560" customFormat="false" ht="12.8" hidden="false" customHeight="false" outlineLevel="0" collapsed="false">
      <c r="B560" s="3"/>
    </row>
    <row r="561" customFormat="false" ht="12.8" hidden="false" customHeight="false" outlineLevel="0" collapsed="false">
      <c r="B561" s="3"/>
    </row>
    <row r="562" customFormat="false" ht="12.8" hidden="false" customHeight="false" outlineLevel="0" collapsed="false">
      <c r="B562" s="3"/>
    </row>
    <row r="563" customFormat="false" ht="12.8" hidden="false" customHeight="false" outlineLevel="0" collapsed="false">
      <c r="B563" s="3"/>
    </row>
    <row r="564" customFormat="false" ht="12.8" hidden="false" customHeight="false" outlineLevel="0" collapsed="false">
      <c r="B564" s="3"/>
    </row>
    <row r="565" customFormat="false" ht="12.8" hidden="false" customHeight="false" outlineLevel="0" collapsed="false">
      <c r="B565" s="3"/>
    </row>
    <row r="566" customFormat="false" ht="12.8" hidden="false" customHeight="false" outlineLevel="0" collapsed="false">
      <c r="B566" s="3"/>
    </row>
    <row r="567" customFormat="false" ht="12.8" hidden="false" customHeight="false" outlineLevel="0" collapsed="false">
      <c r="B567" s="3"/>
    </row>
    <row r="568" customFormat="false" ht="12.8" hidden="false" customHeight="false" outlineLevel="0" collapsed="false">
      <c r="B568" s="3"/>
    </row>
    <row r="569" customFormat="false" ht="12.8" hidden="false" customHeight="false" outlineLevel="0" collapsed="false">
      <c r="B569" s="3"/>
    </row>
    <row r="570" customFormat="false" ht="12.8" hidden="false" customHeight="false" outlineLevel="0" collapsed="false">
      <c r="B570" s="3"/>
    </row>
    <row r="571" customFormat="false" ht="12.8" hidden="false" customHeight="false" outlineLevel="0" collapsed="false">
      <c r="B571" s="3"/>
    </row>
    <row r="572" customFormat="false" ht="12.8" hidden="false" customHeight="false" outlineLevel="0" collapsed="false">
      <c r="B572" s="3"/>
    </row>
    <row r="573" customFormat="false" ht="12.8" hidden="false" customHeight="false" outlineLevel="0" collapsed="false">
      <c r="B573" s="3"/>
    </row>
    <row r="574" customFormat="false" ht="12.8" hidden="false" customHeight="false" outlineLevel="0" collapsed="false">
      <c r="B574" s="3"/>
    </row>
    <row r="575" customFormat="false" ht="12.8" hidden="false" customHeight="false" outlineLevel="0" collapsed="false">
      <c r="B575" s="3"/>
    </row>
    <row r="576" customFormat="false" ht="12.8" hidden="false" customHeight="false" outlineLevel="0" collapsed="false">
      <c r="B576" s="3"/>
    </row>
    <row r="577" customFormat="false" ht="12.8" hidden="false" customHeight="false" outlineLevel="0" collapsed="false">
      <c r="B577" s="3"/>
    </row>
    <row r="578" customFormat="false" ht="12.8" hidden="false" customHeight="false" outlineLevel="0" collapsed="false">
      <c r="B578" s="3"/>
    </row>
    <row r="579" customFormat="false" ht="12.8" hidden="false" customHeight="false" outlineLevel="0" collapsed="false">
      <c r="B579" s="3"/>
    </row>
    <row r="580" customFormat="false" ht="12.8" hidden="false" customHeight="false" outlineLevel="0" collapsed="false">
      <c r="B580" s="3"/>
    </row>
    <row r="581" customFormat="false" ht="12.8" hidden="false" customHeight="false" outlineLevel="0" collapsed="false">
      <c r="B581" s="3"/>
    </row>
    <row r="582" customFormat="false" ht="12.8" hidden="false" customHeight="false" outlineLevel="0" collapsed="false">
      <c r="B582" s="3"/>
    </row>
    <row r="583" customFormat="false" ht="12.8" hidden="false" customHeight="false" outlineLevel="0" collapsed="false">
      <c r="B583" s="3"/>
    </row>
    <row r="584" customFormat="false" ht="12.8" hidden="false" customHeight="false" outlineLevel="0" collapsed="false">
      <c r="B584" s="3"/>
    </row>
    <row r="585" customFormat="false" ht="12.8" hidden="false" customHeight="false" outlineLevel="0" collapsed="false">
      <c r="B585" s="3"/>
    </row>
    <row r="586" customFormat="false" ht="12.8" hidden="false" customHeight="false" outlineLevel="0" collapsed="false">
      <c r="B586" s="3"/>
    </row>
    <row r="587" customFormat="false" ht="12.8" hidden="false" customHeight="false" outlineLevel="0" collapsed="false">
      <c r="B587" s="3"/>
    </row>
    <row r="588" customFormat="false" ht="12.8" hidden="false" customHeight="false" outlineLevel="0" collapsed="false">
      <c r="B588" s="3"/>
    </row>
    <row r="589" customFormat="false" ht="12.8" hidden="false" customHeight="false" outlineLevel="0" collapsed="false">
      <c r="B589" s="3"/>
    </row>
    <row r="590" customFormat="false" ht="12.8" hidden="false" customHeight="false" outlineLevel="0" collapsed="false">
      <c r="B590" s="3"/>
    </row>
    <row r="591" customFormat="false" ht="12.8" hidden="false" customHeight="false" outlineLevel="0" collapsed="false">
      <c r="B591" s="3"/>
    </row>
    <row r="592" customFormat="false" ht="12.8" hidden="false" customHeight="false" outlineLevel="0" collapsed="false">
      <c r="B592" s="3"/>
    </row>
    <row r="593" customFormat="false" ht="12.8" hidden="false" customHeight="false" outlineLevel="0" collapsed="false">
      <c r="B593" s="3"/>
    </row>
    <row r="594" customFormat="false" ht="12.8" hidden="false" customHeight="false" outlineLevel="0" collapsed="false">
      <c r="B594" s="3"/>
    </row>
    <row r="595" customFormat="false" ht="12.8" hidden="false" customHeight="false" outlineLevel="0" collapsed="false">
      <c r="B595" s="3"/>
    </row>
    <row r="596" customFormat="false" ht="12.8" hidden="false" customHeight="false" outlineLevel="0" collapsed="false">
      <c r="B596" s="3"/>
    </row>
    <row r="597" customFormat="false" ht="12.8" hidden="false" customHeight="false" outlineLevel="0" collapsed="false">
      <c r="B597" s="3"/>
    </row>
    <row r="598" customFormat="false" ht="12.8" hidden="false" customHeight="false" outlineLevel="0" collapsed="false">
      <c r="B598" s="3"/>
    </row>
    <row r="599" customFormat="false" ht="12.8" hidden="false" customHeight="false" outlineLevel="0" collapsed="false">
      <c r="B599" s="3"/>
    </row>
    <row r="600" customFormat="false" ht="12.8" hidden="false" customHeight="false" outlineLevel="0" collapsed="false">
      <c r="B600" s="3"/>
    </row>
    <row r="601" customFormat="false" ht="12.8" hidden="false" customHeight="false" outlineLevel="0" collapsed="false">
      <c r="B601" s="3"/>
    </row>
    <row r="602" customFormat="false" ht="12.8" hidden="false" customHeight="false" outlineLevel="0" collapsed="false">
      <c r="B602" s="3"/>
    </row>
    <row r="603" customFormat="false" ht="12.8" hidden="false" customHeight="false" outlineLevel="0" collapsed="false">
      <c r="B603" s="3"/>
    </row>
    <row r="604" customFormat="false" ht="12.8" hidden="false" customHeight="false" outlineLevel="0" collapsed="false">
      <c r="B604" s="3"/>
    </row>
    <row r="605" customFormat="false" ht="12.8" hidden="false" customHeight="false" outlineLevel="0" collapsed="false">
      <c r="B605" s="3"/>
    </row>
    <row r="606" customFormat="false" ht="12.8" hidden="false" customHeight="false" outlineLevel="0" collapsed="false">
      <c r="B606" s="3"/>
    </row>
    <row r="607" customFormat="false" ht="12.8" hidden="false" customHeight="false" outlineLevel="0" collapsed="false">
      <c r="B607" s="3"/>
    </row>
    <row r="608" customFormat="false" ht="12.8" hidden="false" customHeight="false" outlineLevel="0" collapsed="false">
      <c r="B608" s="3"/>
    </row>
    <row r="609" customFormat="false" ht="12.8" hidden="false" customHeight="false" outlineLevel="0" collapsed="false">
      <c r="B609" s="3"/>
    </row>
    <row r="610" customFormat="false" ht="12.8" hidden="false" customHeight="false" outlineLevel="0" collapsed="false">
      <c r="B610" s="3"/>
    </row>
    <row r="611" customFormat="false" ht="12.8" hidden="false" customHeight="false" outlineLevel="0" collapsed="false">
      <c r="B611" s="3"/>
    </row>
    <row r="612" customFormat="false" ht="12.8" hidden="false" customHeight="false" outlineLevel="0" collapsed="false">
      <c r="B612" s="3"/>
    </row>
    <row r="613" customFormat="false" ht="12.8" hidden="false" customHeight="false" outlineLevel="0" collapsed="false">
      <c r="B613" s="3"/>
    </row>
    <row r="614" customFormat="false" ht="12.8" hidden="false" customHeight="false" outlineLevel="0" collapsed="false">
      <c r="B614" s="3"/>
    </row>
    <row r="615" customFormat="false" ht="12.8" hidden="false" customHeight="false" outlineLevel="0" collapsed="false">
      <c r="B615" s="3"/>
    </row>
    <row r="616" customFormat="false" ht="12.8" hidden="false" customHeight="false" outlineLevel="0" collapsed="false">
      <c r="B616" s="3"/>
    </row>
    <row r="617" customFormat="false" ht="12.8" hidden="false" customHeight="false" outlineLevel="0" collapsed="false">
      <c r="B617" s="3"/>
    </row>
    <row r="618" customFormat="false" ht="12.8" hidden="false" customHeight="false" outlineLevel="0" collapsed="false">
      <c r="B618" s="3"/>
    </row>
    <row r="619" customFormat="false" ht="12.8" hidden="false" customHeight="false" outlineLevel="0" collapsed="false">
      <c r="B619" s="3"/>
    </row>
    <row r="620" customFormat="false" ht="12.8" hidden="false" customHeight="false" outlineLevel="0" collapsed="false">
      <c r="B620" s="3"/>
    </row>
    <row r="621" customFormat="false" ht="12.8" hidden="false" customHeight="false" outlineLevel="0" collapsed="false">
      <c r="B621" s="3"/>
    </row>
    <row r="622" customFormat="false" ht="12.8" hidden="false" customHeight="false" outlineLevel="0" collapsed="false">
      <c r="B622" s="3"/>
    </row>
    <row r="623" customFormat="false" ht="12.8" hidden="false" customHeight="false" outlineLevel="0" collapsed="false">
      <c r="B623" s="3"/>
    </row>
    <row r="624" customFormat="false" ht="12.8" hidden="false" customHeight="false" outlineLevel="0" collapsed="false">
      <c r="B624" s="3"/>
    </row>
    <row r="625" customFormat="false" ht="12.8" hidden="false" customHeight="false" outlineLevel="0" collapsed="false">
      <c r="B625" s="3"/>
    </row>
    <row r="626" customFormat="false" ht="12.8" hidden="false" customHeight="false" outlineLevel="0" collapsed="false">
      <c r="B626" s="3"/>
    </row>
    <row r="627" customFormat="false" ht="12.8" hidden="false" customHeight="false" outlineLevel="0" collapsed="false">
      <c r="B627" s="3"/>
    </row>
    <row r="628" customFormat="false" ht="12.8" hidden="false" customHeight="false" outlineLevel="0" collapsed="false">
      <c r="B628" s="3"/>
    </row>
    <row r="629" customFormat="false" ht="12.8" hidden="false" customHeight="false" outlineLevel="0" collapsed="false">
      <c r="B629" s="3"/>
    </row>
    <row r="630" customFormat="false" ht="12.8" hidden="false" customHeight="false" outlineLevel="0" collapsed="false">
      <c r="B630" s="3"/>
    </row>
    <row r="631" customFormat="false" ht="12.8" hidden="false" customHeight="false" outlineLevel="0" collapsed="false">
      <c r="B631" s="3"/>
    </row>
    <row r="632" customFormat="false" ht="12.8" hidden="false" customHeight="false" outlineLevel="0" collapsed="false">
      <c r="B632" s="3"/>
    </row>
    <row r="633" customFormat="false" ht="12.8" hidden="false" customHeight="false" outlineLevel="0" collapsed="false">
      <c r="B633" s="3"/>
    </row>
    <row r="634" customFormat="false" ht="12.8" hidden="false" customHeight="false" outlineLevel="0" collapsed="false">
      <c r="B634" s="3"/>
    </row>
    <row r="635" customFormat="false" ht="12.8" hidden="false" customHeight="false" outlineLevel="0" collapsed="false">
      <c r="B635" s="3"/>
    </row>
    <row r="636" customFormat="false" ht="12.8" hidden="false" customHeight="false" outlineLevel="0" collapsed="false">
      <c r="B636" s="3"/>
    </row>
    <row r="637" customFormat="false" ht="12.8" hidden="false" customHeight="false" outlineLevel="0" collapsed="false">
      <c r="B637" s="3"/>
    </row>
    <row r="638" customFormat="false" ht="12.8" hidden="false" customHeight="false" outlineLevel="0" collapsed="false">
      <c r="B638" s="3"/>
    </row>
    <row r="639" customFormat="false" ht="12.8" hidden="false" customHeight="false" outlineLevel="0" collapsed="false">
      <c r="B639" s="3"/>
    </row>
    <row r="640" customFormat="false" ht="12.8" hidden="false" customHeight="false" outlineLevel="0" collapsed="false">
      <c r="B640" s="3"/>
    </row>
    <row r="641" customFormat="false" ht="12.8" hidden="false" customHeight="false" outlineLevel="0" collapsed="false">
      <c r="B641" s="3"/>
    </row>
    <row r="642" customFormat="false" ht="12.8" hidden="false" customHeight="false" outlineLevel="0" collapsed="false">
      <c r="B642" s="3"/>
    </row>
    <row r="643" customFormat="false" ht="12.8" hidden="false" customHeight="false" outlineLevel="0" collapsed="false">
      <c r="B643" s="3"/>
    </row>
    <row r="644" customFormat="false" ht="12.8" hidden="false" customHeight="false" outlineLevel="0" collapsed="false">
      <c r="B644" s="3"/>
    </row>
    <row r="645" customFormat="false" ht="12.8" hidden="false" customHeight="false" outlineLevel="0" collapsed="false">
      <c r="B645" s="3"/>
    </row>
    <row r="646" customFormat="false" ht="12.8" hidden="false" customHeight="false" outlineLevel="0" collapsed="false">
      <c r="B646" s="3"/>
    </row>
    <row r="647" customFormat="false" ht="12.8" hidden="false" customHeight="false" outlineLevel="0" collapsed="false">
      <c r="B647" s="3"/>
    </row>
    <row r="648" customFormat="false" ht="12.8" hidden="false" customHeight="false" outlineLevel="0" collapsed="false">
      <c r="B648" s="3"/>
    </row>
    <row r="649" customFormat="false" ht="12.8" hidden="false" customHeight="false" outlineLevel="0" collapsed="false">
      <c r="B649" s="3"/>
    </row>
    <row r="650" customFormat="false" ht="12.8" hidden="false" customHeight="false" outlineLevel="0" collapsed="false">
      <c r="B650" s="3"/>
    </row>
    <row r="651" customFormat="false" ht="12.8" hidden="false" customHeight="false" outlineLevel="0" collapsed="false">
      <c r="B651" s="3"/>
    </row>
    <row r="652" customFormat="false" ht="12.8" hidden="false" customHeight="false" outlineLevel="0" collapsed="false">
      <c r="B652" s="3"/>
    </row>
    <row r="653" customFormat="false" ht="12.8" hidden="false" customHeight="false" outlineLevel="0" collapsed="false">
      <c r="B653" s="3"/>
    </row>
    <row r="654" customFormat="false" ht="12.8" hidden="false" customHeight="false" outlineLevel="0" collapsed="false">
      <c r="B654" s="3"/>
    </row>
    <row r="655" customFormat="false" ht="12.8" hidden="false" customHeight="false" outlineLevel="0" collapsed="false">
      <c r="B655" s="3"/>
    </row>
    <row r="656" customFormat="false" ht="12.8" hidden="false" customHeight="false" outlineLevel="0" collapsed="false">
      <c r="B656" s="3"/>
    </row>
    <row r="657" customFormat="false" ht="12.8" hidden="false" customHeight="false" outlineLevel="0" collapsed="false">
      <c r="B657" s="3"/>
    </row>
    <row r="658" customFormat="false" ht="12.8" hidden="false" customHeight="false" outlineLevel="0" collapsed="false">
      <c r="B658" s="3"/>
    </row>
    <row r="659" customFormat="false" ht="12.8" hidden="false" customHeight="false" outlineLevel="0" collapsed="false">
      <c r="B659" s="3"/>
    </row>
    <row r="660" customFormat="false" ht="12.8" hidden="false" customHeight="false" outlineLevel="0" collapsed="false">
      <c r="B660" s="3"/>
    </row>
    <row r="661" customFormat="false" ht="12.8" hidden="false" customHeight="false" outlineLevel="0" collapsed="false">
      <c r="B661" s="3"/>
    </row>
    <row r="662" customFormat="false" ht="12.8" hidden="false" customHeight="false" outlineLevel="0" collapsed="false">
      <c r="B662" s="3"/>
    </row>
    <row r="663" customFormat="false" ht="12.8" hidden="false" customHeight="false" outlineLevel="0" collapsed="false">
      <c r="B663" s="3"/>
    </row>
    <row r="664" customFormat="false" ht="12.8" hidden="false" customHeight="false" outlineLevel="0" collapsed="false">
      <c r="B664" s="3"/>
    </row>
    <row r="665" customFormat="false" ht="12.8" hidden="false" customHeight="false" outlineLevel="0" collapsed="false">
      <c r="B665" s="3"/>
    </row>
    <row r="666" customFormat="false" ht="12.8" hidden="false" customHeight="false" outlineLevel="0" collapsed="false">
      <c r="B666" s="3"/>
    </row>
    <row r="667" customFormat="false" ht="12.8" hidden="false" customHeight="false" outlineLevel="0" collapsed="false">
      <c r="B667" s="3"/>
    </row>
    <row r="668" customFormat="false" ht="12.8" hidden="false" customHeight="false" outlineLevel="0" collapsed="false">
      <c r="B668" s="3"/>
    </row>
    <row r="669" customFormat="false" ht="12.8" hidden="false" customHeight="false" outlineLevel="0" collapsed="false">
      <c r="B669" s="3"/>
    </row>
    <row r="670" customFormat="false" ht="12.8" hidden="false" customHeight="false" outlineLevel="0" collapsed="false">
      <c r="B670" s="3"/>
    </row>
    <row r="671" customFormat="false" ht="12.8" hidden="false" customHeight="false" outlineLevel="0" collapsed="false">
      <c r="B671" s="3"/>
    </row>
    <row r="672" customFormat="false" ht="12.8" hidden="false" customHeight="false" outlineLevel="0" collapsed="false">
      <c r="B672" s="3"/>
    </row>
    <row r="673" customFormat="false" ht="12.8" hidden="false" customHeight="false" outlineLevel="0" collapsed="false">
      <c r="B673" s="3"/>
    </row>
    <row r="674" customFormat="false" ht="12.8" hidden="false" customHeight="false" outlineLevel="0" collapsed="false">
      <c r="B674" s="3"/>
    </row>
    <row r="675" customFormat="false" ht="12.8" hidden="false" customHeight="false" outlineLevel="0" collapsed="false">
      <c r="B675" s="3"/>
    </row>
    <row r="676" customFormat="false" ht="12.8" hidden="false" customHeight="false" outlineLevel="0" collapsed="false">
      <c r="B676" s="3"/>
    </row>
    <row r="677" customFormat="false" ht="12.8" hidden="false" customHeight="false" outlineLevel="0" collapsed="false">
      <c r="B677" s="3"/>
    </row>
    <row r="678" customFormat="false" ht="12.8" hidden="false" customHeight="false" outlineLevel="0" collapsed="false">
      <c r="B678" s="3"/>
    </row>
    <row r="679" customFormat="false" ht="12.8" hidden="false" customHeight="false" outlineLevel="0" collapsed="false">
      <c r="B679" s="3"/>
    </row>
    <row r="680" customFormat="false" ht="12.8" hidden="false" customHeight="false" outlineLevel="0" collapsed="false">
      <c r="B680" s="3"/>
    </row>
    <row r="681" customFormat="false" ht="12.8" hidden="false" customHeight="false" outlineLevel="0" collapsed="false">
      <c r="B681" s="3"/>
    </row>
    <row r="682" customFormat="false" ht="12.8" hidden="false" customHeight="false" outlineLevel="0" collapsed="false">
      <c r="B682" s="3"/>
    </row>
    <row r="683" customFormat="false" ht="12.8" hidden="false" customHeight="false" outlineLevel="0" collapsed="false">
      <c r="B683" s="3"/>
    </row>
    <row r="684" customFormat="false" ht="12.8" hidden="false" customHeight="false" outlineLevel="0" collapsed="false">
      <c r="B684" s="3"/>
    </row>
    <row r="685" customFormat="false" ht="12.8" hidden="false" customHeight="false" outlineLevel="0" collapsed="false">
      <c r="B685" s="3"/>
    </row>
    <row r="686" customFormat="false" ht="12.8" hidden="false" customHeight="false" outlineLevel="0" collapsed="false">
      <c r="B686" s="3"/>
    </row>
    <row r="687" customFormat="false" ht="12.8" hidden="false" customHeight="false" outlineLevel="0" collapsed="false">
      <c r="B687" s="3"/>
    </row>
    <row r="688" customFormat="false" ht="12.8" hidden="false" customHeight="false" outlineLevel="0" collapsed="false">
      <c r="B688" s="3"/>
    </row>
  </sheetData>
  <mergeCells count="20">
    <mergeCell ref="U2:AB4"/>
    <mergeCell ref="M3:N3"/>
    <mergeCell ref="L4:L5"/>
    <mergeCell ref="M4:N5"/>
    <mergeCell ref="U5:AB8"/>
    <mergeCell ref="M6:N6"/>
    <mergeCell ref="C9:K12"/>
    <mergeCell ref="U9:AB9"/>
    <mergeCell ref="AB12:AB21"/>
    <mergeCell ref="V14:W15"/>
    <mergeCell ref="X14:X15"/>
    <mergeCell ref="C133:O133"/>
    <mergeCell ref="N135:O135"/>
    <mergeCell ref="V136:Z140"/>
    <mergeCell ref="C178:C179"/>
    <mergeCell ref="C180:C181"/>
    <mergeCell ref="N437:O437"/>
    <mergeCell ref="V485:Z489"/>
    <mergeCell ref="C494:K494"/>
    <mergeCell ref="C500:G500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&amp;LВерсия от 10 марта 2025 года, правки от 9 апреля&amp;R&amp;"Calibri,Regular"&amp;11страница &amp;P из &amp;N </oddFooter>
  </headerFooter>
  <rowBreaks count="9" manualBreakCount="9">
    <brk id="68" man="true" max="16383" min="0"/>
    <brk id="83" man="true" max="16383" min="0"/>
    <brk id="130" man="true" max="16383" min="0"/>
    <brk id="173" man="true" max="16383" min="0"/>
    <brk id="237" man="true" max="16383" min="0"/>
    <brk id="294" man="true" max="16383" min="0"/>
    <brk id="344" man="true" max="16383" min="0"/>
    <brk id="388" man="true" max="16383" min="0"/>
    <brk id="440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2018-02-22T07:48:57Z</dcterms:created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2025-03-02T02:27:47Z</cp:lastPrinted>
  <dcterms:modified xsi:type="dcterms:W3CDTF">2025-04-09T01:28:28Z</dcterms:modified>
  <cp:revision>512</cp:revision>
  <dc:subject/>
  <dc:title>Перечень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Перечень продукции – Пензенский завод ЭМИ</vt:lpwstr>
  </property>
</Properties>
</file>